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5521" windowWidth="18285" windowHeight="12600" tabRatio="727" activeTab="2"/>
  </bookViews>
  <sheets>
    <sheet name="Version I" sheetId="1" r:id="rId1"/>
    <sheet name="Sheet1" sheetId="2" state="hidden" r:id="rId2"/>
    <sheet name="Version II" sheetId="3" r:id="rId3"/>
    <sheet name="Split Production" sheetId="4" r:id="rId4"/>
    <sheet name="INSTRUCTIONS" sheetId="5" r:id="rId5"/>
    <sheet name="INSTRUCTIONS OLD" sheetId="6" state="hidden" r:id="rId6"/>
  </sheets>
  <definedNames>
    <definedName name="Begin_Station__Lane_LT">#REF!</definedName>
    <definedName name="Begin_Station__Lane_RT">#REF!</definedName>
    <definedName name="BLA">#REF!</definedName>
    <definedName name="BLB">#REF!</definedName>
    <definedName name="Date_Mix_Cored">#REF!</definedName>
    <definedName name="DMC">#REF!</definedName>
    <definedName name="ELA">#REF!</definedName>
    <definedName name="ELB">#REF!</definedName>
    <definedName name="End_Station__Lane_LT">#REF!</definedName>
    <definedName name="End_Station__Lane_RT">#REF!</definedName>
    <definedName name="Lane_Width_Paved">#REF!</definedName>
    <definedName name="LotDetermination">#REF!</definedName>
    <definedName name="LWP">#REF!</definedName>
    <definedName name="Minimum_Lots_Required">#REF!</definedName>
    <definedName name="MLR">#REF!</definedName>
    <definedName name="_xlnm.Print_Area" localSheetId="4">'INSTRUCTIONS'!$A$1:$J$192</definedName>
    <definedName name="_xlnm.Print_Area" localSheetId="3">'Split Production'!#REF!</definedName>
    <definedName name="_xlnm.Print_Area" localSheetId="0">'Version I'!$A$1:$T$59</definedName>
    <definedName name="_xlnm.Print_Area" localSheetId="2">'Version II'!$A$1:$O$65</definedName>
    <definedName name="Required_Lot_Length">#REF!</definedName>
    <definedName name="RLL">#REF!</definedName>
    <definedName name="SLA">#REF!</definedName>
    <definedName name="SLB">#REF!</definedName>
    <definedName name="Stations_Paved__Lane_RT">#REF!</definedName>
    <definedName name="Stations_Paved_Lane_LT">#REF!</definedName>
    <definedName name="Total_Stations_Paved">#REF!</definedName>
    <definedName name="Total_Tons_Paved">#REF!</definedName>
    <definedName name="TSP">#REF!</definedName>
    <definedName name="TTP">#REF!</definedName>
  </definedNames>
  <calcPr fullCalcOnLoad="1"/>
</workbook>
</file>

<file path=xl/comments1.xml><?xml version="1.0" encoding="utf-8"?>
<comments xmlns="http://schemas.openxmlformats.org/spreadsheetml/2006/main">
  <authors>
    <author>MIS</author>
    <author>RONALD G BUMANN</author>
    <author>Default</author>
    <author>Boer1Dan</author>
  </authors>
  <commentList>
    <comment ref="M12" authorId="0">
      <text>
        <r>
          <rPr>
            <b/>
            <sz val="8"/>
            <rFont val="Tahoma"/>
            <family val="0"/>
          </rPr>
          <t>TON TYPE, ENGLISH OR METRIC, USED TO DETERMINE THE NUMBER OF LOTS REQUIRED.</t>
        </r>
        <r>
          <rPr>
            <sz val="8"/>
            <rFont val="Tahoma"/>
            <family val="0"/>
          </rPr>
          <t xml:space="preserve">
</t>
        </r>
      </text>
    </comment>
    <comment ref="M11" authorId="1">
      <text>
        <r>
          <rPr>
            <b/>
            <sz val="8"/>
            <rFont val="Tahoma"/>
            <family val="0"/>
          </rPr>
          <t xml:space="preserve"> The average (Gmm) Maximum specific gravity value used to calculate the percentage density for the lot shall be the average value obtained from the maximum gravity results from production tests taken during that days paving.  If only one or two maximum specific gravity values were obtained that day, then the moving average value (at that test point) shall be used.  If three or more maximum specific gravity values are obtained that day, then the average of those tests alone shall be used as indicated above.</t>
        </r>
      </text>
    </comment>
    <comment ref="M10" authorId="2">
      <text>
        <r>
          <rPr>
            <b/>
            <sz val="8"/>
            <rFont val="Tahoma"/>
            <family val="0"/>
          </rPr>
          <t xml:space="preserve">                                        
                                                     MIX  TYPES</t>
        </r>
        <r>
          <rPr>
            <sz val="8"/>
            <rFont val="Tahoma"/>
            <family val="0"/>
          </rPr>
          <t xml:space="preserve">
    </t>
        </r>
        <r>
          <rPr>
            <b/>
            <sz val="8"/>
            <rFont val="Tahoma"/>
            <family val="0"/>
          </rPr>
          <t>LV</t>
        </r>
        <r>
          <rPr>
            <sz val="8"/>
            <rFont val="Tahoma"/>
            <family val="0"/>
          </rPr>
          <t xml:space="preserve"> = LOW VOLUME, 92% REQ'D DENSITY, 3% AIR VOIDS   
    </t>
        </r>
        <r>
          <rPr>
            <b/>
            <sz val="8"/>
            <rFont val="Tahoma"/>
            <family val="0"/>
          </rPr>
          <t>LV-R</t>
        </r>
        <r>
          <rPr>
            <sz val="8"/>
            <rFont val="Tahoma"/>
            <family val="0"/>
          </rPr>
          <t xml:space="preserve"> = LOW VOLUME"REDUCED"DENSITY TO 91%, 3% AIR VOIDS
    </t>
        </r>
        <r>
          <rPr>
            <b/>
            <sz val="8"/>
            <rFont val="Tahoma"/>
            <family val="0"/>
          </rPr>
          <t>MV</t>
        </r>
        <r>
          <rPr>
            <sz val="8"/>
            <rFont val="Tahoma"/>
            <family val="0"/>
          </rPr>
          <t xml:space="preserve"> = MEDIUM VOLUME,92% REQ'D DENSITY, 3.5% AIR VOIDS
   </t>
        </r>
        <r>
          <rPr>
            <b/>
            <sz val="8"/>
            <rFont val="Tahoma"/>
            <family val="0"/>
          </rPr>
          <t xml:space="preserve"> MV-R</t>
        </r>
        <r>
          <rPr>
            <sz val="8"/>
            <rFont val="Tahoma"/>
            <family val="0"/>
          </rPr>
          <t xml:space="preserve"> = MEDIUM VOLUME"REDUCED"DENSITY TO 91%, 3.5% AIR VOIDS
   </t>
        </r>
        <r>
          <rPr>
            <b/>
            <sz val="8"/>
            <rFont val="Tahoma"/>
            <family val="0"/>
          </rPr>
          <t xml:space="preserve"> SPWE</t>
        </r>
        <r>
          <rPr>
            <sz val="8"/>
            <rFont val="Tahoma"/>
            <family val="0"/>
          </rPr>
          <t xml:space="preserve"> = SUPERPAVE WEAR, 92% REQ'D DENSITY, 4% AIR VOIDS
    </t>
        </r>
        <r>
          <rPr>
            <b/>
            <sz val="8"/>
            <rFont val="Tahoma"/>
            <family val="0"/>
          </rPr>
          <t>SPWE-R</t>
        </r>
        <r>
          <rPr>
            <sz val="8"/>
            <rFont val="Tahoma"/>
            <family val="0"/>
          </rPr>
          <t xml:space="preserve"> =  WEAR"REDUCED"DENSITY TO 91%, 4% AIR VOIDS
    </t>
        </r>
        <r>
          <rPr>
            <b/>
            <sz val="8"/>
            <rFont val="Tahoma"/>
            <family val="0"/>
          </rPr>
          <t>SPNW</t>
        </r>
        <r>
          <rPr>
            <sz val="8"/>
            <rFont val="Tahoma"/>
            <family val="0"/>
          </rPr>
          <t xml:space="preserve"> = SUPERPAVE NONWEAR, 93% REQ'D DENSITY, 3% AIR VOIDS
    </t>
        </r>
        <r>
          <rPr>
            <b/>
            <sz val="8"/>
            <rFont val="Tahoma"/>
            <family val="0"/>
          </rPr>
          <t>SPNW-R</t>
        </r>
        <r>
          <rPr>
            <sz val="8"/>
            <rFont val="Tahoma"/>
            <family val="0"/>
          </rPr>
          <t xml:space="preserve"> = NONWEAR DENSITY"REDUCED" TO 92%, 3% AIR VOIDS
   </t>
        </r>
        <r>
          <rPr>
            <b/>
            <sz val="8"/>
            <rFont val="Tahoma"/>
            <family val="2"/>
          </rPr>
          <t>SPSHLD-3</t>
        </r>
        <r>
          <rPr>
            <sz val="8"/>
            <rFont val="Tahoma"/>
            <family val="0"/>
          </rPr>
          <t xml:space="preserve"> = SUPERPAVE SHOULDERS @ 3% VOID, 93% DENSITY
   </t>
        </r>
        <r>
          <rPr>
            <b/>
            <sz val="8"/>
            <rFont val="Tahoma"/>
            <family val="2"/>
          </rPr>
          <t>SPSHLDR-3</t>
        </r>
        <r>
          <rPr>
            <sz val="8"/>
            <rFont val="Tahoma"/>
            <family val="0"/>
          </rPr>
          <t xml:space="preserve"> = SUPERPAVE SHOULDERS @ 3% VOIDS, REDUCED TO 92% DENSITY.   
   </t>
        </r>
        <r>
          <rPr>
            <b/>
            <sz val="8"/>
            <rFont val="Tahoma"/>
            <family val="2"/>
          </rPr>
          <t xml:space="preserve">SPSHLD-4 </t>
        </r>
        <r>
          <rPr>
            <sz val="8"/>
            <rFont val="Tahoma"/>
            <family val="0"/>
          </rPr>
          <t xml:space="preserve">= SUPERPAVE SHOULDERS @ 4% VOIDS, 92% DENSITY
   </t>
        </r>
        <r>
          <rPr>
            <b/>
            <sz val="8"/>
            <rFont val="Tahoma"/>
            <family val="2"/>
          </rPr>
          <t>SPSHLDR-4</t>
        </r>
        <r>
          <rPr>
            <sz val="8"/>
            <rFont val="Tahoma"/>
            <family val="0"/>
          </rPr>
          <t xml:space="preserve"> = SUPERPAVE SHOULDERS @ 4% VOIDS, REDUCED TO 91% DENSITY.</t>
        </r>
      </text>
    </comment>
    <comment ref="L18" authorId="0">
      <text>
        <r>
          <rPr>
            <b/>
            <sz val="8"/>
            <rFont val="Tahoma"/>
            <family val="0"/>
          </rPr>
          <t>IF THE COMPANION CORE DEVIATES BEYOND THE ALLOWABLE TOLERANCE OF .030, THE COMPANION CORE WILL BE USED IN PLACE OF THE CONTRACTORS CORE. YOU MUST ENTER THE COMPANION CORE #.</t>
        </r>
        <r>
          <rPr>
            <sz val="8"/>
            <rFont val="Tahoma"/>
            <family val="0"/>
          </rPr>
          <t xml:space="preserve">
</t>
        </r>
      </text>
    </comment>
    <comment ref="M18" authorId="2">
      <text>
        <r>
          <rPr>
            <b/>
            <sz val="8"/>
            <rFont val="Tahoma"/>
            <family val="0"/>
          </rPr>
          <t>% Density is calculated</t>
        </r>
        <r>
          <rPr>
            <sz val="8"/>
            <rFont val="Tahoma"/>
            <family val="0"/>
          </rPr>
          <t xml:space="preserve">
</t>
        </r>
        <r>
          <rPr>
            <b/>
            <sz val="8"/>
            <rFont val="Tahoma"/>
            <family val="0"/>
          </rPr>
          <t>using the average bulk SpG divided by the Max SpG. The correct Max SpG is critical in calculating incentive/disincentives.</t>
        </r>
      </text>
    </comment>
    <comment ref="N18" authorId="2">
      <text>
        <r>
          <rPr>
            <b/>
            <sz val="8"/>
            <rFont val="Tahoma"/>
            <family val="0"/>
          </rPr>
          <t>Individual air voids taken from the table above, review entrys and delete old data.</t>
        </r>
        <r>
          <rPr>
            <sz val="8"/>
            <rFont val="Tahoma"/>
            <family val="0"/>
          </rPr>
          <t xml:space="preserve">
</t>
        </r>
      </text>
    </comment>
    <comment ref="Q18" authorId="2">
      <text>
        <r>
          <rPr>
            <b/>
            <sz val="8"/>
            <rFont val="Tahoma"/>
            <family val="0"/>
          </rPr>
          <t>Pay Factor is determined by comparing the % density and air void used to the required density and minimum air void listed above.  Review the mix type entry above.</t>
        </r>
        <r>
          <rPr>
            <sz val="8"/>
            <rFont val="Tahoma"/>
            <family val="0"/>
          </rPr>
          <t xml:space="preserve">
</t>
        </r>
      </text>
    </comment>
    <comment ref="A19" authorId="0">
      <text>
        <r>
          <rPr>
            <b/>
            <sz val="8"/>
            <rFont val="Tahoma"/>
            <family val="0"/>
          </rPr>
          <t>ENTER BEGINNING LOT # FOR</t>
        </r>
        <r>
          <rPr>
            <sz val="8"/>
            <rFont val="Tahoma"/>
            <family val="0"/>
          </rPr>
          <t xml:space="preserve"> </t>
        </r>
        <r>
          <rPr>
            <b/>
            <sz val="8"/>
            <rFont val="Tahoma"/>
            <family val="0"/>
          </rPr>
          <t>THAT DAYS PRODUCTION</t>
        </r>
        <r>
          <rPr>
            <sz val="8"/>
            <rFont val="Tahoma"/>
            <family val="0"/>
          </rPr>
          <t xml:space="preserve">.
</t>
        </r>
      </text>
    </comment>
    <comment ref="A21" authorId="0">
      <text>
        <r>
          <rPr>
            <b/>
            <sz val="8"/>
            <rFont val="Tahoma"/>
            <family val="0"/>
          </rPr>
          <t>COMPANION CORE #</t>
        </r>
        <r>
          <rPr>
            <sz val="8"/>
            <rFont val="Tahoma"/>
            <family val="0"/>
          </rPr>
          <t xml:space="preserve">
</t>
        </r>
      </text>
    </comment>
    <comment ref="B54" authorId="0">
      <text>
        <r>
          <rPr>
            <b/>
            <sz val="8"/>
            <rFont val="Tahoma"/>
            <family val="0"/>
          </rPr>
          <t>SEE PROPOSAL FOR MIX DESIGNATION TYPE.</t>
        </r>
        <r>
          <rPr>
            <sz val="8"/>
            <rFont val="Tahoma"/>
            <family val="0"/>
          </rPr>
          <t xml:space="preserve">
</t>
        </r>
      </text>
    </comment>
    <comment ref="Q12" authorId="2">
      <text>
        <r>
          <rPr>
            <b/>
            <sz val="8"/>
            <rFont val="Tahoma"/>
            <family val="0"/>
          </rPr>
          <t># OF LOTS REQUIRED IS BASED ON THE MAX DENSITY TONS.</t>
        </r>
      </text>
    </comment>
    <comment ref="M22" authorId="2">
      <text>
        <r>
          <rPr>
            <b/>
            <sz val="8"/>
            <rFont val="Tahoma"/>
            <family val="0"/>
          </rPr>
          <t>The average of the two bulk Specific Gravities, this is used with the Max Density to calculated the % density.</t>
        </r>
        <r>
          <rPr>
            <sz val="8"/>
            <rFont val="Tahoma"/>
            <family val="0"/>
          </rPr>
          <t xml:space="preserve">
</t>
        </r>
      </text>
    </comment>
    <comment ref="B8" authorId="2">
      <text>
        <r>
          <rPr>
            <b/>
            <sz val="8"/>
            <rFont val="Tahoma"/>
            <family val="0"/>
          </rPr>
          <t>Insert sample number from test summary sheet.</t>
        </r>
        <r>
          <rPr>
            <sz val="8"/>
            <rFont val="Tahoma"/>
            <family val="0"/>
          </rPr>
          <t xml:space="preserve">
</t>
        </r>
      </text>
    </comment>
    <comment ref="B9" authorId="2">
      <text>
        <r>
          <rPr>
            <b/>
            <sz val="8"/>
            <rFont val="Tahoma"/>
            <family val="0"/>
          </rPr>
          <t>The tons produced from the start of the days production to when the sample is taken.</t>
        </r>
        <r>
          <rPr>
            <sz val="8"/>
            <rFont val="Tahoma"/>
            <family val="0"/>
          </rPr>
          <t xml:space="preserve">
</t>
        </r>
      </text>
    </comment>
    <comment ref="B11" authorId="2">
      <text>
        <r>
          <rPr>
            <b/>
            <sz val="8"/>
            <rFont val="Tahoma"/>
            <family val="0"/>
          </rPr>
          <t>MAX DENSITY TONS IS CALCULATED BY A RATIO BETWEEN THE TONS PAVED AND THE MAX DENSITY TONS.</t>
        </r>
        <r>
          <rPr>
            <sz val="8"/>
            <rFont val="Tahoma"/>
            <family val="0"/>
          </rPr>
          <t xml:space="preserve">
</t>
        </r>
      </text>
    </comment>
    <comment ref="C5" authorId="2">
      <text>
        <r>
          <rPr>
            <b/>
            <sz val="8"/>
            <rFont val="Tahoma"/>
            <family val="0"/>
          </rPr>
          <t xml:space="preserve">THIS PROGRAM HAS BEEN DEVELOPED FOR THE RECORD KEEPING OF BITUMINOUS DENSITYS. THIS WORKSHEET COVERS THE INCENTIVE AND DISINCENTIVES IN REGARDS TO SPEC 2350 AND 2360. DATA ENTRY IS ALLOWED ONLY IN THE HIGHLITED BOXES. REMEMBER TO DELETE ANY NON CURRENT DATA. DOLLAR TOTALS ARE DEPENDANT ON GOOD DATA ENTRYS.
</t>
        </r>
        <r>
          <rPr>
            <sz val="8"/>
            <rFont val="Tahoma"/>
            <family val="0"/>
          </rPr>
          <t xml:space="preserve">
</t>
        </r>
      </text>
    </comment>
    <comment ref="Q11" authorId="3">
      <text>
        <r>
          <rPr>
            <b/>
            <sz val="8"/>
            <rFont val="Tahoma"/>
            <family val="2"/>
          </rPr>
          <t>LEAVE THIS FIELD BLANK. IF YOU HAVE A DIFFERENT AMOUNT OF LOTS THAN THE PROGRAM ALLOWS  FOR,  INSERT THAT NUMBER IN THIS FIELD.</t>
        </r>
      </text>
    </comment>
    <comment ref="O7" authorId="2">
      <text>
        <r>
          <rPr>
            <b/>
            <sz val="8"/>
            <rFont val="Tahoma"/>
            <family val="0"/>
          </rPr>
          <t>SQUARE YARD INCH PROJECTS ONLY.</t>
        </r>
        <r>
          <rPr>
            <sz val="8"/>
            <rFont val="Tahoma"/>
            <family val="0"/>
          </rPr>
          <t xml:space="preserve">
Insert the required mat thickness, (ie, 1,1.5, 2, 2.5, etc) Be sure the bid price reflects the square yard inch bid price.   Delete any number to convert the worksheet to a tonnage worksheet.
</t>
        </r>
        <r>
          <rPr>
            <b/>
            <sz val="8"/>
            <rFont val="Tahoma"/>
            <family val="2"/>
          </rPr>
          <t>Incentive/Disincentives</t>
        </r>
        <r>
          <rPr>
            <sz val="8"/>
            <rFont val="Tahoma"/>
            <family val="0"/>
          </rPr>
          <t xml:space="preserve"> are based on the average core density for that day's production and the bid price.</t>
        </r>
      </text>
    </comment>
    <comment ref="M9" authorId="2">
      <text>
        <r>
          <rPr>
            <b/>
            <sz val="8"/>
            <rFont val="Tahoma"/>
            <family val="0"/>
          </rPr>
          <t>Taken from the project proposal, review for accuracy.</t>
        </r>
        <r>
          <rPr>
            <sz val="8"/>
            <rFont val="Tahoma"/>
            <family val="0"/>
          </rPr>
          <t xml:space="preserve">
</t>
        </r>
      </text>
    </comment>
    <comment ref="O8" authorId="2">
      <text>
        <r>
          <rPr>
            <b/>
            <sz val="8"/>
            <rFont val="Tahoma"/>
            <family val="0"/>
          </rPr>
          <t>Total tons or sq yds delivered to the project for that days production, excluding any waste mixture.</t>
        </r>
        <r>
          <rPr>
            <sz val="8"/>
            <rFont val="Tahoma"/>
            <family val="0"/>
          </rPr>
          <t xml:space="preserve">
</t>
        </r>
      </text>
    </comment>
    <comment ref="O9" authorId="2">
      <text>
        <r>
          <rPr>
            <b/>
            <sz val="8"/>
            <rFont val="Tahoma"/>
            <family val="0"/>
          </rPr>
          <t>The total tons or sq yds that are included in the incentive/disincentive calculations.</t>
        </r>
        <r>
          <rPr>
            <sz val="8"/>
            <rFont val="Tahoma"/>
            <family val="0"/>
          </rPr>
          <t xml:space="preserve">
</t>
        </r>
      </text>
    </comment>
    <comment ref="O10" authorId="2">
      <text>
        <r>
          <rPr>
            <b/>
            <sz val="8"/>
            <rFont val="Tahoma"/>
            <family val="0"/>
          </rPr>
          <t>A ratio between the total tons and the max density (incentive) tons.</t>
        </r>
        <r>
          <rPr>
            <sz val="8"/>
            <rFont val="Tahoma"/>
            <family val="0"/>
          </rPr>
          <t xml:space="preserve">
</t>
        </r>
        <r>
          <rPr>
            <b/>
            <sz val="8"/>
            <rFont val="Tahoma"/>
            <family val="2"/>
          </rPr>
          <t>This is needed for the calculations.</t>
        </r>
      </text>
    </comment>
    <comment ref="B12" authorId="2">
      <text>
        <r>
          <rPr>
            <b/>
            <sz val="8"/>
            <rFont val="Tahoma"/>
            <family val="0"/>
          </rPr>
          <t>INDIVIDUAL AIR VOIDS IS TAKEN FROM THE SUMMARY SHEET, REVIEW TOLERANCE AND RETEST REQUIREMENTS.</t>
        </r>
        <r>
          <rPr>
            <sz val="8"/>
            <rFont val="Tahoma"/>
            <family val="0"/>
          </rPr>
          <t xml:space="preserve">
</t>
        </r>
      </text>
    </comment>
  </commentList>
</comments>
</file>

<file path=xl/comments3.xml><?xml version="1.0" encoding="utf-8"?>
<comments xmlns="http://schemas.openxmlformats.org/spreadsheetml/2006/main">
  <authors>
    <author>MIS</author>
    <author>RONALD G BUMANN</author>
    <author>Default</author>
    <author>Boer1Dan</author>
  </authors>
  <commentList>
    <comment ref="B11" authorId="0">
      <text>
        <r>
          <rPr>
            <b/>
            <sz val="8"/>
            <rFont val="Tahoma"/>
            <family val="0"/>
          </rPr>
          <t>TON TYPE, ENGLISH OR METRIC, USED TO DETERMINE THE NUMBER OF LOTS REQUIRED.</t>
        </r>
        <r>
          <rPr>
            <sz val="8"/>
            <rFont val="Tahoma"/>
            <family val="0"/>
          </rPr>
          <t xml:space="preserve">
</t>
        </r>
      </text>
    </comment>
    <comment ref="B10" authorId="1">
      <text>
        <r>
          <rPr>
            <b/>
            <sz val="8"/>
            <rFont val="Tahoma"/>
            <family val="0"/>
          </rPr>
          <t xml:space="preserve"> The average (Gmm) Maximum specific gravity value used to calculate the percentage density for the lot shall be the average value obtained from the maximum gravity results from production tests taken during that days paving.  If only one or two maximum specific gravity values were obtained that day, then the moving average value (at that test point) shall be used.  If three or more maximum specific gravity values are obtained that day, then the average of those tests alone shall be used as indicated above.</t>
        </r>
      </text>
    </comment>
    <comment ref="B9" authorId="2">
      <text>
        <r>
          <rPr>
            <b/>
            <sz val="8"/>
            <rFont val="Tahoma"/>
            <family val="0"/>
          </rPr>
          <t xml:space="preserve">                                        
                                                     MIX  TYPES</t>
        </r>
        <r>
          <rPr>
            <sz val="8"/>
            <rFont val="Tahoma"/>
            <family val="0"/>
          </rPr>
          <t xml:space="preserve">
    </t>
        </r>
        <r>
          <rPr>
            <b/>
            <sz val="8"/>
            <rFont val="Tahoma"/>
            <family val="0"/>
          </rPr>
          <t>LV</t>
        </r>
        <r>
          <rPr>
            <sz val="8"/>
            <rFont val="Tahoma"/>
            <family val="0"/>
          </rPr>
          <t xml:space="preserve"> = LOW VOLUME, 92% REQ'D DENSITY, 3% AIR VOIDS   
    </t>
        </r>
        <r>
          <rPr>
            <b/>
            <sz val="8"/>
            <rFont val="Tahoma"/>
            <family val="0"/>
          </rPr>
          <t>LV-R</t>
        </r>
        <r>
          <rPr>
            <sz val="8"/>
            <rFont val="Tahoma"/>
            <family val="0"/>
          </rPr>
          <t xml:space="preserve"> = LOW VOLUME"REDUCED"DENSITY TO 91%, 3% AIR VOIDS
    </t>
        </r>
        <r>
          <rPr>
            <b/>
            <sz val="8"/>
            <rFont val="Tahoma"/>
            <family val="0"/>
          </rPr>
          <t>MV</t>
        </r>
        <r>
          <rPr>
            <sz val="8"/>
            <rFont val="Tahoma"/>
            <family val="0"/>
          </rPr>
          <t xml:space="preserve"> = MEDIUM VOLUME,92% REQ'D DENSITY, 3.5% AIR VOIDS
   </t>
        </r>
        <r>
          <rPr>
            <b/>
            <sz val="8"/>
            <rFont val="Tahoma"/>
            <family val="0"/>
          </rPr>
          <t xml:space="preserve"> MV-R</t>
        </r>
        <r>
          <rPr>
            <sz val="8"/>
            <rFont val="Tahoma"/>
            <family val="0"/>
          </rPr>
          <t xml:space="preserve"> = MEDIUM VOLUME"REDUCED"DENSITY TO 91%, 3.5% AIR VOIDS
   </t>
        </r>
        <r>
          <rPr>
            <b/>
            <sz val="8"/>
            <rFont val="Tahoma"/>
            <family val="0"/>
          </rPr>
          <t xml:space="preserve"> SPWE</t>
        </r>
        <r>
          <rPr>
            <sz val="8"/>
            <rFont val="Tahoma"/>
            <family val="0"/>
          </rPr>
          <t xml:space="preserve"> = SUPERPAVE WEAR, 92% REQ'D DENSITY, 4% AIR VOIDS
    </t>
        </r>
        <r>
          <rPr>
            <b/>
            <sz val="8"/>
            <rFont val="Tahoma"/>
            <family val="0"/>
          </rPr>
          <t>SPWE-R</t>
        </r>
        <r>
          <rPr>
            <sz val="8"/>
            <rFont val="Tahoma"/>
            <family val="0"/>
          </rPr>
          <t xml:space="preserve"> =  WEAR"REDUCED"DENSITY TO 91%, 4% AIR VOIDS
    </t>
        </r>
        <r>
          <rPr>
            <b/>
            <sz val="8"/>
            <rFont val="Tahoma"/>
            <family val="0"/>
          </rPr>
          <t>SPNW</t>
        </r>
        <r>
          <rPr>
            <sz val="8"/>
            <rFont val="Tahoma"/>
            <family val="0"/>
          </rPr>
          <t xml:space="preserve"> = SUPERPAVE NONWEAR, 93% REQ'D DENSITY, 3% AIR VOIDS
    </t>
        </r>
        <r>
          <rPr>
            <b/>
            <sz val="8"/>
            <rFont val="Tahoma"/>
            <family val="0"/>
          </rPr>
          <t>SPNW-R</t>
        </r>
        <r>
          <rPr>
            <sz val="8"/>
            <rFont val="Tahoma"/>
            <family val="0"/>
          </rPr>
          <t xml:space="preserve"> = NONWEAR DENSITY"REDUCED" TO 92%, 3% AIR VOIDS
   </t>
        </r>
        <r>
          <rPr>
            <b/>
            <sz val="8"/>
            <rFont val="Tahoma"/>
            <family val="2"/>
          </rPr>
          <t>SPSHLD-3</t>
        </r>
        <r>
          <rPr>
            <sz val="8"/>
            <rFont val="Tahoma"/>
            <family val="0"/>
          </rPr>
          <t xml:space="preserve"> = SUPERPAVE SHOULDERS @ 3% VOID, 93% DENSITY
   </t>
        </r>
        <r>
          <rPr>
            <b/>
            <sz val="8"/>
            <rFont val="Tahoma"/>
            <family val="2"/>
          </rPr>
          <t>SPSHLDR-3</t>
        </r>
        <r>
          <rPr>
            <sz val="8"/>
            <rFont val="Tahoma"/>
            <family val="0"/>
          </rPr>
          <t xml:space="preserve"> = SUPERPAVE SHOULDERS @ 3% VOIDS, REDUCED TO 92% DENSITY.   
   </t>
        </r>
        <r>
          <rPr>
            <b/>
            <sz val="8"/>
            <rFont val="Tahoma"/>
            <family val="2"/>
          </rPr>
          <t xml:space="preserve">SPSHLD-4 </t>
        </r>
        <r>
          <rPr>
            <sz val="8"/>
            <rFont val="Tahoma"/>
            <family val="0"/>
          </rPr>
          <t xml:space="preserve">= SUPERPAVE SHOULDERS @ 4% VOIDS, 92% DENSITY
   </t>
        </r>
        <r>
          <rPr>
            <b/>
            <sz val="8"/>
            <rFont val="Tahoma"/>
            <family val="2"/>
          </rPr>
          <t>SPSHLDR-4</t>
        </r>
        <r>
          <rPr>
            <sz val="8"/>
            <rFont val="Tahoma"/>
            <family val="0"/>
          </rPr>
          <t xml:space="preserve"> = SUPERPAVE SHOULDERS @ 4% VOIDS, REDUCED TO 91% DENSITY.</t>
        </r>
      </text>
    </comment>
    <comment ref="F22" authorId="0">
      <text>
        <r>
          <rPr>
            <b/>
            <sz val="8"/>
            <rFont val="Tahoma"/>
            <family val="0"/>
          </rPr>
          <t>IF THE COMPANION CORE DEVIATES BEYOND THE ALLOWABLE TOLERANCE OF .030, THE COMPANION CORE WILL BE USED IN PLACE OF THE CONTRACTORS CORE. YOU MUST ENTER THE COMPANION CORE #.</t>
        </r>
        <r>
          <rPr>
            <sz val="8"/>
            <rFont val="Tahoma"/>
            <family val="0"/>
          </rPr>
          <t xml:space="preserve">
</t>
        </r>
      </text>
    </comment>
    <comment ref="G22" authorId="2">
      <text>
        <r>
          <rPr>
            <b/>
            <sz val="8"/>
            <rFont val="Tahoma"/>
            <family val="0"/>
          </rPr>
          <t>% Density is calculated</t>
        </r>
        <r>
          <rPr>
            <sz val="8"/>
            <rFont val="Tahoma"/>
            <family val="0"/>
          </rPr>
          <t xml:space="preserve">
</t>
        </r>
        <r>
          <rPr>
            <b/>
            <sz val="8"/>
            <rFont val="Tahoma"/>
            <family val="0"/>
          </rPr>
          <t>using the average bulk SpG divided by the Max SpG. The correct Max SpG is critical in calculating incentive/disincentives.</t>
        </r>
      </text>
    </comment>
    <comment ref="H22" authorId="2">
      <text>
        <r>
          <rPr>
            <b/>
            <sz val="8"/>
            <rFont val="Tahoma"/>
            <family val="0"/>
          </rPr>
          <t>Individual air voids taken from the table above, review entrys and delete old data.</t>
        </r>
        <r>
          <rPr>
            <sz val="8"/>
            <rFont val="Tahoma"/>
            <family val="0"/>
          </rPr>
          <t xml:space="preserve">
</t>
        </r>
      </text>
    </comment>
    <comment ref="K22" authorId="2">
      <text>
        <r>
          <rPr>
            <b/>
            <sz val="8"/>
            <rFont val="Tahoma"/>
            <family val="0"/>
          </rPr>
          <t>Pay Factor is determined by comparing the % density and air void used to the required density and minimum air void listed above.  Review the mix type entry above.</t>
        </r>
        <r>
          <rPr>
            <sz val="8"/>
            <rFont val="Tahoma"/>
            <family val="0"/>
          </rPr>
          <t xml:space="preserve">
</t>
        </r>
      </text>
    </comment>
    <comment ref="B23" authorId="0">
      <text>
        <r>
          <rPr>
            <b/>
            <sz val="8"/>
            <rFont val="Tahoma"/>
            <family val="0"/>
          </rPr>
          <t>ENTER BEGINNING LOT # FOR</t>
        </r>
        <r>
          <rPr>
            <sz val="8"/>
            <rFont val="Tahoma"/>
            <family val="0"/>
          </rPr>
          <t xml:space="preserve"> </t>
        </r>
        <r>
          <rPr>
            <b/>
            <sz val="8"/>
            <rFont val="Tahoma"/>
            <family val="0"/>
          </rPr>
          <t>THAT DAYS PRODUCTION</t>
        </r>
        <r>
          <rPr>
            <sz val="8"/>
            <rFont val="Tahoma"/>
            <family val="0"/>
          </rPr>
          <t xml:space="preserve">.
</t>
        </r>
      </text>
    </comment>
    <comment ref="B25" authorId="0">
      <text>
        <r>
          <rPr>
            <b/>
            <sz val="8"/>
            <rFont val="Tahoma"/>
            <family val="0"/>
          </rPr>
          <t>COMPANION CORE #</t>
        </r>
        <r>
          <rPr>
            <sz val="8"/>
            <rFont val="Tahoma"/>
            <family val="0"/>
          </rPr>
          <t xml:space="preserve">
</t>
        </r>
      </text>
    </comment>
    <comment ref="F57" authorId="0">
      <text>
        <r>
          <rPr>
            <b/>
            <sz val="8"/>
            <rFont val="Tahoma"/>
            <family val="0"/>
          </rPr>
          <t>SEE PROPOSAL FOR MIX DESIGNATION TYPE.</t>
        </r>
        <r>
          <rPr>
            <sz val="8"/>
            <rFont val="Tahoma"/>
            <family val="0"/>
          </rPr>
          <t xml:space="preserve">
</t>
        </r>
      </text>
    </comment>
    <comment ref="I10" authorId="2">
      <text>
        <r>
          <rPr>
            <b/>
            <sz val="8"/>
            <rFont val="Tahoma"/>
            <family val="0"/>
          </rPr>
          <t># OF LOTS REQUIRED IS BASED ON THE MAX DENSITY TONS.</t>
        </r>
      </text>
    </comment>
    <comment ref="G26" authorId="2">
      <text>
        <r>
          <rPr>
            <b/>
            <sz val="8"/>
            <rFont val="Tahoma"/>
            <family val="0"/>
          </rPr>
          <t>The average of the two bulk Specific Gravities, this is used with the Max Density to calculated the % density.</t>
        </r>
        <r>
          <rPr>
            <sz val="8"/>
            <rFont val="Tahoma"/>
            <family val="0"/>
          </rPr>
          <t xml:space="preserve">
</t>
        </r>
      </text>
    </comment>
    <comment ref="B13" authorId="2">
      <text>
        <r>
          <rPr>
            <b/>
            <sz val="8"/>
            <rFont val="Tahoma"/>
            <family val="0"/>
          </rPr>
          <t>Insert sample number from test summary sheet.</t>
        </r>
        <r>
          <rPr>
            <sz val="8"/>
            <rFont val="Tahoma"/>
            <family val="0"/>
          </rPr>
          <t xml:space="preserve">
</t>
        </r>
      </text>
    </comment>
    <comment ref="B14" authorId="2">
      <text>
        <r>
          <rPr>
            <b/>
            <sz val="8"/>
            <rFont val="Tahoma"/>
            <family val="0"/>
          </rPr>
          <t>The tons produced from the start of the days production to when the sample is taken.</t>
        </r>
        <r>
          <rPr>
            <sz val="8"/>
            <rFont val="Tahoma"/>
            <family val="0"/>
          </rPr>
          <t xml:space="preserve">
</t>
        </r>
      </text>
    </comment>
    <comment ref="B16" authorId="2">
      <text>
        <r>
          <rPr>
            <b/>
            <sz val="8"/>
            <rFont val="Tahoma"/>
            <family val="0"/>
          </rPr>
          <t>MAX DENSITY TONS IS CALCULATED BY A RATIO BETWEEN THE TONS PAVED AND THE MAX DENSITY TONS.</t>
        </r>
        <r>
          <rPr>
            <sz val="8"/>
            <rFont val="Tahoma"/>
            <family val="0"/>
          </rPr>
          <t xml:space="preserve">
</t>
        </r>
      </text>
    </comment>
    <comment ref="C5" authorId="2">
      <text>
        <r>
          <rPr>
            <b/>
            <sz val="8"/>
            <rFont val="Tahoma"/>
            <family val="0"/>
          </rPr>
          <t xml:space="preserve">THIS PROGRAM HAS BEEN DEVELOPED FOR THE RECORD KEEPING OF BITUMINOUS DENSITYS. THIS WORKSHEET COVERS THE INCENTIVE AND DISINCENTIVES IN REGARDS TO SPEC 2350 AND 2360. DATA ENTRY IS ALLOWED ONLY IN THE HIGHLITED BOXES. REMEMBER TO DELETE ANY NON CURRENT DATA. DOLLAR TOTALS ARE DEPENDANT ON GOOD DATA ENTRYS.
</t>
        </r>
        <r>
          <rPr>
            <sz val="8"/>
            <rFont val="Tahoma"/>
            <family val="0"/>
          </rPr>
          <t xml:space="preserve">
</t>
        </r>
      </text>
    </comment>
    <comment ref="I9" authorId="3">
      <text>
        <r>
          <rPr>
            <b/>
            <sz val="8"/>
            <rFont val="Tahoma"/>
            <family val="2"/>
          </rPr>
          <t>LEAVE THIS FIELD BLANK. IF YOU HAVE A DIFFERENT AMOUNT OF LOTS THAN THE PROGRAM ALLOWS  FOR,  INSERT THAT NUMBER IN THIS FIELD.</t>
        </r>
      </text>
    </comment>
    <comment ref="E8" authorId="2">
      <text>
        <r>
          <rPr>
            <b/>
            <sz val="8"/>
            <rFont val="Tahoma"/>
            <family val="0"/>
          </rPr>
          <t>SQUARE YARD INCH PROJECTS ONLY.</t>
        </r>
        <r>
          <rPr>
            <sz val="8"/>
            <rFont val="Tahoma"/>
            <family val="0"/>
          </rPr>
          <t xml:space="preserve">
Insert the required mat thickness, (ie, 1,1.5, 2, 2.5, etc) Be sure the bid price reflects the square yard inch bid price.   Delete any number to convert the worksheet to a tonnage worksheet.
</t>
        </r>
        <r>
          <rPr>
            <b/>
            <sz val="8"/>
            <rFont val="Tahoma"/>
            <family val="2"/>
          </rPr>
          <t>Incentive/Disincentives</t>
        </r>
        <r>
          <rPr>
            <sz val="8"/>
            <rFont val="Tahoma"/>
            <family val="0"/>
          </rPr>
          <t xml:space="preserve"> are based on the average core density for that day's production and the bid price.</t>
        </r>
      </text>
    </comment>
    <comment ref="B8" authorId="2">
      <text>
        <r>
          <rPr>
            <b/>
            <sz val="8"/>
            <rFont val="Tahoma"/>
            <family val="0"/>
          </rPr>
          <t>Taken from the project proposal, review for accuracy.</t>
        </r>
        <r>
          <rPr>
            <sz val="8"/>
            <rFont val="Tahoma"/>
            <family val="0"/>
          </rPr>
          <t xml:space="preserve">
</t>
        </r>
      </text>
    </comment>
    <comment ref="E9" authorId="2">
      <text>
        <r>
          <rPr>
            <b/>
            <sz val="8"/>
            <rFont val="Tahoma"/>
            <family val="0"/>
          </rPr>
          <t>Total tons or sq yds delivered to the project for that days production, excluding any waste mixture.</t>
        </r>
        <r>
          <rPr>
            <sz val="8"/>
            <rFont val="Tahoma"/>
            <family val="0"/>
          </rPr>
          <t xml:space="preserve">
</t>
        </r>
      </text>
    </comment>
    <comment ref="E10" authorId="2">
      <text>
        <r>
          <rPr>
            <b/>
            <sz val="8"/>
            <rFont val="Tahoma"/>
            <family val="0"/>
          </rPr>
          <t>The total tons or sq yds that are included in the incentive/disincentive calculations.</t>
        </r>
        <r>
          <rPr>
            <sz val="8"/>
            <rFont val="Tahoma"/>
            <family val="0"/>
          </rPr>
          <t xml:space="preserve">
</t>
        </r>
      </text>
    </comment>
    <comment ref="E11" authorId="2">
      <text>
        <r>
          <rPr>
            <b/>
            <sz val="8"/>
            <rFont val="Tahoma"/>
            <family val="0"/>
          </rPr>
          <t>A ratio between the total tons and the max density (incentive) tons.</t>
        </r>
        <r>
          <rPr>
            <sz val="8"/>
            <rFont val="Tahoma"/>
            <family val="0"/>
          </rPr>
          <t xml:space="preserve">
</t>
        </r>
        <r>
          <rPr>
            <b/>
            <sz val="8"/>
            <rFont val="Tahoma"/>
            <family val="2"/>
          </rPr>
          <t>This is needed for the calculations.</t>
        </r>
      </text>
    </comment>
    <comment ref="B17" authorId="2">
      <text>
        <r>
          <rPr>
            <b/>
            <sz val="8"/>
            <rFont val="Tahoma"/>
            <family val="0"/>
          </rPr>
          <t>INDIVIDUAL AIR VOIDS IS TAKEN FROM THE SUMMARY SHEET, REVIEW TOLERANCE AND RETEST REQUIREMENTS.</t>
        </r>
        <r>
          <rPr>
            <sz val="8"/>
            <rFont val="Tahoma"/>
            <family val="0"/>
          </rPr>
          <t xml:space="preserve">
</t>
        </r>
      </text>
    </comment>
  </commentList>
</comments>
</file>

<file path=xl/comments4.xml><?xml version="1.0" encoding="utf-8"?>
<comments xmlns="http://schemas.openxmlformats.org/spreadsheetml/2006/main">
  <authors>
    <author>Default</author>
  </authors>
  <commentList>
    <comment ref="G9" authorId="0">
      <text>
        <r>
          <rPr>
            <b/>
            <sz val="8"/>
            <rFont val="Tahoma"/>
            <family val="0"/>
          </rPr>
          <t>Enter the total tons placed in area "A", the Max Density tons will be addressed on each worksheet.</t>
        </r>
      </text>
    </comment>
    <comment ref="G10" authorId="0">
      <text>
        <r>
          <rPr>
            <b/>
            <sz val="8"/>
            <rFont val="Tahoma"/>
            <family val="0"/>
          </rPr>
          <t>Enter the total tons placed in area "B", the Max Density tons will be addressed on each worksheet.</t>
        </r>
        <r>
          <rPr>
            <sz val="8"/>
            <rFont val="Tahoma"/>
            <family val="0"/>
          </rPr>
          <t xml:space="preserve">
</t>
        </r>
      </text>
    </comment>
    <comment ref="E30" authorId="0">
      <text>
        <r>
          <rPr>
            <b/>
            <sz val="8"/>
            <rFont val="Tahoma"/>
            <family val="0"/>
          </rPr>
          <t>Insert the following data into the density incentive/disincentive worksheet.  The worksheet will determine the tons represented from the sample ton numbers.  Disregard a sample ton # 0, needed for programming.</t>
        </r>
        <r>
          <rPr>
            <sz val="8"/>
            <rFont val="Tahoma"/>
            <family val="0"/>
          </rPr>
          <t xml:space="preserve">
</t>
        </r>
      </text>
    </comment>
  </commentList>
</comments>
</file>

<file path=xl/sharedStrings.xml><?xml version="1.0" encoding="utf-8"?>
<sst xmlns="http://schemas.openxmlformats.org/spreadsheetml/2006/main" count="1616" uniqueCount="401">
  <si>
    <t>S.P.</t>
  </si>
  <si>
    <t>S.A.P</t>
  </si>
  <si>
    <t xml:space="preserve">TON TYPE </t>
  </si>
  <si>
    <t>ENGLISH</t>
  </si>
  <si>
    <t>C.P.</t>
  </si>
  <si>
    <t xml:space="preserve">          REQ'D DENSITY=</t>
  </si>
  <si>
    <t>LV</t>
  </si>
  <si>
    <t xml:space="preserve">         MIN. AIR VOIDS =</t>
  </si>
  <si>
    <t xml:space="preserve">           LOTS REQUIRED =</t>
  </si>
  <si>
    <t>BID PRICE=</t>
  </si>
  <si>
    <t xml:space="preserve">   DESIGN AIR VOIDS =</t>
  </si>
  <si>
    <r>
      <t xml:space="preserve">MIX  TYPE </t>
    </r>
    <r>
      <rPr>
        <b/>
        <sz val="8"/>
        <rFont val="Arial"/>
        <family val="2"/>
      </rPr>
      <t xml:space="preserve"> </t>
    </r>
  </si>
  <si>
    <t>MV</t>
  </si>
  <si>
    <t>SAMPLE NUMBER</t>
  </si>
  <si>
    <t>SPNW</t>
  </si>
  <si>
    <t>TONS REPRESENTED</t>
  </si>
  <si>
    <t>SPWE</t>
  </si>
  <si>
    <t xml:space="preserve">BULK </t>
  </si>
  <si>
    <t>%</t>
  </si>
  <si>
    <t>AIR VOID</t>
  </si>
  <si>
    <t>TONS</t>
  </si>
  <si>
    <t>PAY</t>
  </si>
  <si>
    <t>INCENTIVE</t>
  </si>
  <si>
    <t>LOT</t>
  </si>
  <si>
    <t>CORE #</t>
  </si>
  <si>
    <t>BULK SP.G</t>
  </si>
  <si>
    <t>SpG. USED</t>
  </si>
  <si>
    <t>DENSITY</t>
  </si>
  <si>
    <t>USED</t>
  </si>
  <si>
    <t>REPRESENT.</t>
  </si>
  <si>
    <t>FACTOR</t>
  </si>
  <si>
    <t>DISINCENTIVE</t>
  </si>
  <si>
    <t>COMP</t>
  </si>
  <si>
    <t>INCENTIVE THIS SHEET</t>
  </si>
  <si>
    <t>DISINCENTIVE THIS SHEET</t>
  </si>
  <si>
    <t>INCENTIVE / DISINCENTIVE</t>
  </si>
  <si>
    <t xml:space="preserve"> TOTAL =</t>
  </si>
  <si>
    <t>CHK'D BY</t>
  </si>
  <si>
    <t>DATE :</t>
  </si>
  <si>
    <t>MIX DESIGNATION :</t>
  </si>
  <si>
    <t>PLANT # :</t>
  </si>
  <si>
    <t>NOTES</t>
  </si>
  <si>
    <t>%DENS.</t>
  </si>
  <si>
    <t>RED. (3)</t>
  </si>
  <si>
    <t>upper 4" (4)</t>
  </si>
  <si>
    <t>lower 4"(5)</t>
  </si>
  <si>
    <t>hv</t>
  </si>
  <si>
    <t>MV LV</t>
  </si>
  <si>
    <t>&gt;4" REDUCED</t>
  </si>
  <si>
    <t>up 4" red.</t>
  </si>
  <si>
    <t>MIN.VOID</t>
  </si>
  <si>
    <t>REQ. DENS.</t>
  </si>
  <si>
    <t>DEN.COL.</t>
  </si>
  <si>
    <t>INCENT*</t>
  </si>
  <si>
    <t>VOID LIMIT</t>
  </si>
  <si>
    <t>Q/C</t>
  </si>
  <si>
    <t>SAMPLE #</t>
  </si>
  <si>
    <t>TONS PAVED (metric) =</t>
  </si>
  <si>
    <t>SAMPLES</t>
  </si>
  <si>
    <t>TON #</t>
  </si>
  <si>
    <t xml:space="preserve">     LOTS tested =</t>
  </si>
  <si>
    <t>TONS REP.</t>
  </si>
  <si>
    <t xml:space="preserve">        TONS PER LOT=</t>
  </si>
  <si>
    <t>NONWEAR</t>
  </si>
  <si>
    <t>AIR VOIDS</t>
  </si>
  <si>
    <t>LVR</t>
  </si>
  <si>
    <t>NW</t>
  </si>
  <si>
    <t>WEAR</t>
  </si>
  <si>
    <t>MVR</t>
  </si>
  <si>
    <t>SPNWR</t>
  </si>
  <si>
    <t>SPWER</t>
  </si>
  <si>
    <t>INCENT.</t>
  </si>
  <si>
    <t>INCENT* - 1 = N0, 2 = YES</t>
  </si>
  <si>
    <t>VOID LIMIT - 3 = 3.5%MIN, 2 = 3%MIN, 1 = 2.5%MIN.</t>
  </si>
  <si>
    <t>PRICE  ADJ.</t>
  </si>
  <si>
    <t>in/dis</t>
  </si>
  <si>
    <t>english</t>
  </si>
  <si>
    <t>metric</t>
  </si>
  <si>
    <t>Tons</t>
  </si>
  <si>
    <t>Lots</t>
  </si>
  <si>
    <t>AIR DRY</t>
  </si>
  <si>
    <t>(or dry wt.)</t>
  </si>
  <si>
    <t>PAN WT.</t>
  </si>
  <si>
    <t>DRY WT.</t>
  </si>
  <si>
    <t>SSD WT.</t>
  </si>
  <si>
    <t>IMPROVEMENTS TO THE INCENTIVE / DISINCENTIVE PROGRAM</t>
  </si>
  <si>
    <t>WORKBOOK (OR FILE) CAN CONTAIN SEVERAL DAYS OF PAVING.</t>
  </si>
  <si>
    <t>THIS PROGRAM HAS BEEN MODIFIED TO ALLOW WORKSHEETS</t>
  </si>
  <si>
    <t>TO BE COPIED WITHIN THE WORKBOOK,  THEREFORE ONE</t>
  </si>
  <si>
    <t>METHOD  1</t>
  </si>
  <si>
    <t>CLICK TO THE WORKSHEET YOU WOULD LIKE TO COPY, MOVE</t>
  </si>
  <si>
    <t>THE CURSOR DOWN TO THE TAB AT THE BOTTOM OF THE SHEET,</t>
  </si>
  <si>
    <t xml:space="preserve">THE CURSOR WILL CHANGE TO AN ARROW TYPE FORM, THE  </t>
  </si>
  <si>
    <t xml:space="preserve">HOLD THE CTRL (CONTROL) DOWN AND THEN LEFT CLICK AND </t>
  </si>
  <si>
    <t>DOWN AND DRAG TO THE RIGHT.</t>
  </si>
  <si>
    <t>METHOD  2</t>
  </si>
  <si>
    <t xml:space="preserve">THE CURSOR WILL CHANGE TO AN ARROW TYPE FORM, THEN  </t>
  </si>
  <si>
    <t>RIGHT CLICK, CLICK ON THE COPY/MOVE BUTTON, CLICK OR CHECK</t>
  </si>
  <si>
    <r>
      <t xml:space="preserve">THE CREATE A COPY BOX AND THEN CLICK ON </t>
    </r>
    <r>
      <rPr>
        <b/>
        <sz val="12"/>
        <rFont val="Arial"/>
        <family val="2"/>
      </rPr>
      <t>OK.</t>
    </r>
  </si>
  <si>
    <t>RENAME A WORKSHEET</t>
  </si>
  <si>
    <t>CLICK TO THE WORKSHEET YOU WOULD LIKE TO RENAME, MOVE</t>
  </si>
  <si>
    <t>RIGHT CLICK, CLICK ON THE RENAME BUTTON, THEN TYPE IN THE</t>
  </si>
  <si>
    <t xml:space="preserve">NEW WORKSHEET NAME, ( some typing characters may not be allowed in a </t>
  </si>
  <si>
    <t>name due to their formula type functions).   THEN PRESS ENTER.</t>
  </si>
  <si>
    <t>MOVING A WORKSHEET WITHIN A WORKBOOK.</t>
  </si>
  <si>
    <t xml:space="preserve">LEFT CLICK AND HOLD DOWN, WITH THE BOTTON DOWN YOU CAN </t>
  </si>
  <si>
    <t xml:space="preserve">MOVE THE CURSOR TO THE RIGHT OR LEFT TO POSITION THE </t>
  </si>
  <si>
    <t>WORKSHEET TO THE NEEDED POSITION.</t>
  </si>
  <si>
    <t>METHOD  3</t>
  </si>
  <si>
    <t>CLICK ON THE BUTTON TO THE RIGHT</t>
  </si>
  <si>
    <t>THE DATA FOR DAY #1 SHOULD BE ENTERED ON THE  SHEET</t>
  </si>
  <si>
    <t>LABELED "day (1)".  FOR DAYS THAT FOLLOW, MAKE A COPY</t>
  </si>
  <si>
    <t>OF THIS SHEET BY USING ONE OF THE FOLLOWING THREE METHODS.</t>
  </si>
  <si>
    <t>OR</t>
  </si>
  <si>
    <t>SAMPLE TON #</t>
  </si>
  <si>
    <t>INDIVIDUAL VOIDS</t>
  </si>
  <si>
    <t>LOT 1</t>
  </si>
  <si>
    <t>LOT 2</t>
  </si>
  <si>
    <t>LOT 3</t>
  </si>
  <si>
    <t>LOT 4</t>
  </si>
  <si>
    <t>LOT 5</t>
  </si>
  <si>
    <t>LOT 6</t>
  </si>
  <si>
    <t xml:space="preserve">SAMPLE </t>
  </si>
  <si>
    <t>TON</t>
  </si>
  <si>
    <t>samples</t>
  </si>
  <si>
    <t>ton type</t>
  </si>
  <si>
    <t>INCENT/DISINC RATIO=</t>
  </si>
  <si>
    <t>LOT #</t>
  </si>
  <si>
    <t>MAX TONS</t>
  </si>
  <si>
    <t>DATA  BY :</t>
  </si>
  <si>
    <t>CORE</t>
  </si>
  <si>
    <t>THICKNESS</t>
  </si>
  <si>
    <t>CORE/PAN</t>
  </si>
  <si>
    <t>IMM WT.</t>
  </si>
  <si>
    <t>% WATER</t>
  </si>
  <si>
    <t>ABSORBED</t>
  </si>
  <si>
    <t>METRIC</t>
  </si>
  <si>
    <t>lbs.per square yd in.=</t>
  </si>
  <si>
    <t xml:space="preserve">      Average Density =</t>
  </si>
  <si>
    <t>Revision History</t>
  </si>
  <si>
    <t>Revision for 8/8/2002 - this is the first published version to have the dual formats,</t>
  </si>
  <si>
    <t>with and without the lab worksheet incorporated</t>
  </si>
  <si>
    <t>This version also has added a flag for the incentive/disincentive to warn when</t>
  </si>
  <si>
    <t>a bid price has not been included</t>
  </si>
  <si>
    <t>zzzz</t>
  </si>
  <si>
    <t>Revision for 8/27/02 - fixed the buttons for the copying macros
fixed the date fields to be shink to fit</t>
  </si>
  <si>
    <t xml:space="preserve">Revision for 11/13/02 - this version includes the manual overide for the number of </t>
  </si>
  <si>
    <t>lots.  Leave "0" in the overide cell to accept the standard number of lots.</t>
  </si>
  <si>
    <t>Revision for 11/14/02 - this version includes a facility for cutting and pasting data</t>
  </si>
  <si>
    <t xml:space="preserve">into future revisions of this spread sheet.  This facility is made possible by the </t>
  </si>
  <si>
    <t xml:space="preserve">following macros and buttons:  "copy_data", "paste_data", "buttons_off", </t>
  </si>
  <si>
    <t xml:space="preserve">"buttons_on", "copy_data_page2", "paste_data_page2", </t>
  </si>
  <si>
    <t>button_3, button_4, button_26, button_27, button_53, button_54</t>
  </si>
  <si>
    <t>and the addition of another sheet: "Sheet1"</t>
  </si>
  <si>
    <t xml:space="preserve">The addition of these items to an old spread sheet should give it the facility </t>
  </si>
  <si>
    <t xml:space="preserve">to paste data into a version of this spread sheet.  The formatting from the </t>
  </si>
  <si>
    <t>respective sheets ("combined" and "incentive") should be pasted into the sheet</t>
  </si>
  <si>
    <t>"Sheet1".  The formatting for "incentive" should be copied from "A1:m53" and pasted</t>
  </si>
  <si>
    <t>to "Sheet1" starting at cell "a1".  The formatting for "combined" should be copied</t>
  </si>
  <si>
    <t>from "a1:r45" and pasted to "Sheet1" starting at "aa1".</t>
  </si>
  <si>
    <t>SEE SPEC.</t>
  </si>
  <si>
    <t>SP WEAR,SHLD</t>
  </si>
  <si>
    <t xml:space="preserve"> MV LV</t>
  </si>
  <si>
    <t>SPSHLD3</t>
  </si>
  <si>
    <t>SPSHLD4</t>
  </si>
  <si>
    <t>SPSHLD3R</t>
  </si>
  <si>
    <t>SPSHLD4R</t>
  </si>
  <si>
    <t>MAT THICKNESS =</t>
  </si>
  <si>
    <t xml:space="preserve">OVERRIDE # LOTS = </t>
  </si>
  <si>
    <t>LOCATION</t>
  </si>
  <si>
    <t>Gmb /</t>
  </si>
  <si>
    <t>DENSITY TONS</t>
  </si>
  <si>
    <t>CONTRACTOR</t>
  </si>
  <si>
    <t>HWY</t>
  </si>
  <si>
    <t>DATE:</t>
  </si>
  <si>
    <t>CHECKED BY:</t>
  </si>
  <si>
    <t>Average Density =</t>
  </si>
  <si>
    <t>MDR.# :</t>
  </si>
  <si>
    <t>NET Total =</t>
  </si>
  <si>
    <t>Ave.Gmm.=</t>
  </si>
  <si>
    <r>
      <t>MIX  TYPE =</t>
    </r>
    <r>
      <rPr>
        <b/>
        <sz val="8"/>
        <rFont val="Arial"/>
        <family val="2"/>
      </rPr>
      <t xml:space="preserve"> </t>
    </r>
  </si>
  <si>
    <t>NET =</t>
  </si>
  <si>
    <t>MARSHALL DESIGN</t>
  </si>
  <si>
    <t>GYRATORY DESIGN</t>
  </si>
  <si>
    <r>
      <t>DENSITY  INCENTIVE / DISINCENTIVE  WORKSHEET</t>
    </r>
    <r>
      <rPr>
        <sz val="20"/>
        <rFont val="Arial"/>
        <family val="2"/>
      </rPr>
      <t xml:space="preserve">  </t>
    </r>
  </si>
  <si>
    <r>
      <t>DENSITY  INCENTIVE / DISINCENTIVE   WORKSHEET</t>
    </r>
    <r>
      <rPr>
        <sz val="19"/>
        <rFont val="Arial"/>
        <family val="2"/>
      </rPr>
      <t xml:space="preserve">  </t>
    </r>
  </si>
  <si>
    <t>A</t>
  </si>
  <si>
    <t>B</t>
  </si>
  <si>
    <t>TONS - 1ST SECTION</t>
  </si>
  <si>
    <t>SAMPLE TON # 1ST SECT.</t>
  </si>
  <si>
    <t>C</t>
  </si>
  <si>
    <t>Compare the A and B values, insert the lessor value.</t>
  </si>
  <si>
    <t>D</t>
  </si>
  <si>
    <t>The number of tons that represent the first section.  Insert this value in the total tons paved.</t>
  </si>
  <si>
    <t>SAMPLE TON # 2nd SECT.</t>
  </si>
  <si>
    <t>C minus A</t>
  </si>
  <si>
    <t>DAILY TOTAL TONS PAVED =</t>
  </si>
  <si>
    <t>AREA "A" -  TONS PAVED =</t>
  </si>
  <si>
    <t>AREA "B" -  TONS PAVED =</t>
  </si>
  <si>
    <t>AREA "A"</t>
  </si>
  <si>
    <t>TOTAL TONS PAVED =</t>
  </si>
  <si>
    <t>NUMBER OF LOTS - MANUAL =</t>
  </si>
  <si>
    <t>AREA "B"</t>
  </si>
  <si>
    <t>COMPLETE TEST DATA TAKEN FROM THE TEST SUMMARY SHEETS</t>
  </si>
  <si>
    <t xml:space="preserve">Split Production  -  The following worksheet can be used when a day's production needs to be split due to </t>
  </si>
  <si>
    <t xml:space="preserve">different density requirements or similar situations.  Area "A" is defined as the first area paved from the start </t>
  </si>
  <si>
    <t xml:space="preserve">required for each area may be manually entered on each worksheet.  The intent is to not have more lots tested </t>
  </si>
  <si>
    <t xml:space="preserve">      # OF LOTS REQ'D FOR DAILY TOTAL =</t>
  </si>
  <si>
    <t>of that day's production and Area "B" is the remaining tonnage for that day's production.  The number of lots</t>
  </si>
  <si>
    <t>than the required amount for the total day's production.</t>
  </si>
  <si>
    <t>Notes</t>
  </si>
  <si>
    <t>max density tons</t>
  </si>
  <si>
    <t>total tons</t>
  </si>
  <si>
    <t>tons per lot</t>
  </si>
  <si>
    <t>tons/sq yd</t>
  </si>
  <si>
    <t>Adjusted Price per ton</t>
  </si>
  <si>
    <t>Would you like to calculate and use the weighted average</t>
  </si>
  <si>
    <t xml:space="preserve">of the production air voids, rather than using the individual </t>
  </si>
  <si>
    <t>air voids?  The incentive/disincentive calculated using this</t>
  </si>
  <si>
    <t xml:space="preserve">option is to be used for information only.  The specification </t>
  </si>
  <si>
    <t>calls for using the individual air voids and the weighted average</t>
  </si>
  <si>
    <t xml:space="preserve">method should NOT be used to calculate the actual </t>
  </si>
  <si>
    <t>incentive/disincentive to be paid to the contractor.</t>
  </si>
  <si>
    <t xml:space="preserve">I would like to use the weighted average of the air voids - </t>
  </si>
  <si>
    <t>yes</t>
  </si>
  <si>
    <t>no</t>
  </si>
  <si>
    <t xml:space="preserve">air void weighted average = </t>
  </si>
  <si>
    <t>Sq Yd</t>
  </si>
  <si>
    <t>REPRESENT</t>
  </si>
  <si>
    <t>Sq Yds</t>
  </si>
  <si>
    <t>Confined?</t>
  </si>
  <si>
    <t>Longitudinal Joint Density</t>
  </si>
  <si>
    <t>confined</t>
  </si>
  <si>
    <t>unconfined</t>
  </si>
  <si>
    <t>4% air voids</t>
  </si>
  <si>
    <t>3% air voids</t>
  </si>
  <si>
    <t xml:space="preserve">resultant table based on the air voids </t>
  </si>
  <si>
    <t>of the mix</t>
  </si>
  <si>
    <t>Pay Factor</t>
  </si>
  <si>
    <t>Combined Pay Factor</t>
  </si>
  <si>
    <t xml:space="preserve">Revision for 4/15/04 - this version uses the weighted average air voids to </t>
  </si>
  <si>
    <t>reflect the changes to the 2004 bituminous specification</t>
  </si>
  <si>
    <t xml:space="preserve">Revision for 5/19/2004 - unprotected the cells to tell the program whether or not a </t>
  </si>
  <si>
    <t>joint is confined or unconfined.</t>
  </si>
  <si>
    <t xml:space="preserve">Revision for 1/24/2005 - fixed an error in the longitudinal joint density pay factor </t>
  </si>
  <si>
    <t>table.  The "OR" logic in the table's cell was not working right.</t>
  </si>
  <si>
    <t>Revision for 8/8/2005 - added feature to compute the average maximum specific</t>
  </si>
  <si>
    <t>gravity.  The program makes a decision to use the moving average of four, or to use</t>
  </si>
  <si>
    <t>the average of the max's for the day.</t>
  </si>
  <si>
    <t>IND. MAX SP.G.</t>
  </si>
  <si>
    <t>MVNG AVG MX SP.G.</t>
  </si>
  <si>
    <t>max</t>
  </si>
  <si>
    <t>a</t>
  </si>
  <si>
    <t>average</t>
  </si>
  <si>
    <t>average mx spg</t>
  </si>
  <si>
    <t>is average available</t>
  </si>
  <si>
    <t>number of max's</t>
  </si>
  <si>
    <t>look up the avg</t>
  </si>
  <si>
    <t>Revision for 8/12/2005 - unprotected the workbook so that multiple copies of the</t>
  </si>
  <si>
    <t>worksheets can be created within one file</t>
  </si>
  <si>
    <t>Revision for 8/11/2006 - fixed error with the average bulk specific gravity for lot</t>
  </si>
  <si>
    <t>number 6, in the long form (lab weights).  Formatting changes, changed cells for</t>
  </si>
  <si>
    <t xml:space="preserve">confined/unconfined input to color yellow, and merged cells for inputting the </t>
  </si>
  <si>
    <t>"companion to lot #".   Changed the formatting of numbering the cores taken at the</t>
  </si>
  <si>
    <t>joints.  Now the joint cores will have the same lot numbers as the regular cores</t>
  </si>
  <si>
    <t>with *.3 and *.4 as the suffix.</t>
  </si>
  <si>
    <t>BULK</t>
  </si>
  <si>
    <t xml:space="preserve">SPECIFIC </t>
  </si>
  <si>
    <t>GRAVITY</t>
  </si>
  <si>
    <t>Lot</t>
  </si>
  <si>
    <t>contractor</t>
  </si>
  <si>
    <t>agency</t>
  </si>
  <si>
    <t xml:space="preserve">First </t>
  </si>
  <si>
    <t>Comparison</t>
  </si>
  <si>
    <t>1 = no substitute</t>
  </si>
  <si>
    <t>0 = substitute</t>
  </si>
  <si>
    <t>Should we</t>
  </si>
  <si>
    <t xml:space="preserve">do a </t>
  </si>
  <si>
    <t>Comparison?</t>
  </si>
  <si>
    <t>0 = no</t>
  </si>
  <si>
    <t>1 = yes</t>
  </si>
  <si>
    <t>individual comp</t>
  </si>
  <si>
    <t>within 0.030</t>
  </si>
  <si>
    <t>if no substitute</t>
  </si>
  <si>
    <t>use the contractors</t>
  </si>
  <si>
    <t>bulk for average</t>
  </si>
  <si>
    <t>and shrinking avg</t>
  </si>
  <si>
    <t>comparison</t>
  </si>
  <si>
    <t>which agency cores</t>
  </si>
  <si>
    <t>to use in the avg</t>
  </si>
  <si>
    <t xml:space="preserve">test for average </t>
  </si>
  <si>
    <t>number of comparisons</t>
  </si>
  <si>
    <t>final substitutions</t>
  </si>
  <si>
    <t xml:space="preserve">after both individual </t>
  </si>
  <si>
    <t xml:space="preserve">test and average </t>
  </si>
  <si>
    <t>test</t>
  </si>
  <si>
    <t>COMPANION</t>
  </si>
  <si>
    <t>USED????</t>
  </si>
  <si>
    <t xml:space="preserve">Revision for April 2007 - major modification for inclusion of NEW maximum </t>
  </si>
  <si>
    <t>density specification with longitudinal joint density feature.  This new spec requires</t>
  </si>
  <si>
    <t>that the spread sheet be able to have either one or two agency companion cores</t>
  </si>
  <si>
    <t>per lot.  It also requires that the spread sheet do two different tolerance checks,</t>
  </si>
  <si>
    <t>both an individual check (one contractor versus one agency) and an "average</t>
  </si>
  <si>
    <t xml:space="preserve">for the day" check, that uses a shrinking tolerance.  The shrinking tolerance is </t>
  </si>
  <si>
    <t>equal to 0.030 for a bulk specific gravity divided by the square root of the number</t>
  </si>
  <si>
    <t>of agency cores tested for the day, that are available to compare against contractor</t>
  </si>
  <si>
    <t xml:space="preserve">core bulk specific gravities.  Bulk specific gravities that fail the individual core </t>
  </si>
  <si>
    <t xml:space="preserve">bulk specific gravities will not be included in the "average for the day" tolerance </t>
  </si>
  <si>
    <t>check.  The following are the cells that are affected by this major modification.</t>
  </si>
  <si>
    <t>In the "Version I" page, the cell block of BL12:BT58 was added.  This block</t>
  </si>
  <si>
    <t>does the major part of the work to do the tolerance checking for both the individual</t>
  </si>
  <si>
    <t>and the "days average" bulk specific gravities.  Cell block BA3:BH161 was</t>
  </si>
  <si>
    <t>modified.  This cell block contains the pay factors for the longitudinal core bulk</t>
  </si>
  <si>
    <t>specific gravities.  These pay factors were changed with this new version of the</t>
  </si>
  <si>
    <t xml:space="preserve">Longitudinal Joint Density Maximum Density specification.   Cell block B21:B22 and </t>
  </si>
  <si>
    <t xml:space="preserve">sister blocks were changed to add the feature of 100% companion cores. </t>
  </si>
  <si>
    <t>These cells are not available for user input.   Cell block D22:K22 and sister cells</t>
  </si>
  <si>
    <t>were modified to add one additional companion core per lot.  Each block allows</t>
  </si>
  <si>
    <t>user input of one set of core data and the calculation of the bulk specific gravity</t>
  </si>
  <si>
    <t xml:space="preserve">per lot.  Cell block G19:G52 was modified to to eliminate "#NA" being displayed </t>
  </si>
  <si>
    <t xml:space="preserve">when the cell vallue was not calculateable.   Cell block "J19:J52" </t>
  </si>
  <si>
    <t>was modified for formatting purposes.  For blank cell purposes, the cell formulas</t>
  </si>
  <si>
    <t>now check in the contents of cells D19:D20 are equal to "0" and not the old test of</t>
  </si>
  <si>
    <t xml:space="preserve">equal to "".  The conditional formatting was also changed.   Cell block L19:L20 and </t>
  </si>
  <si>
    <t>sister cells now refer to cell block BS19:BS58 to get their values.  Cell L21 and sister</t>
  </si>
  <si>
    <t>cells, that displays that a "companion bulk is used", now does a test on the cell</t>
  </si>
  <si>
    <t xml:space="preserve">block BT19:BT52 to determine in an agency companion bulk specific gravity </t>
  </si>
  <si>
    <t xml:space="preserve">has been substituted for a contractor bulk specific gravity.  </t>
  </si>
  <si>
    <t>no core</t>
  </si>
  <si>
    <t>LJD core in a lot.  This may happen when there is a shoulder paved with a traffic</t>
  </si>
  <si>
    <t xml:space="preserve">lane, i.e. there is a hot joint between the lane and the shoulder, and hence no need </t>
  </si>
  <si>
    <t xml:space="preserve">a LJD core.  In this case, select "no core" rather than either "confined" or </t>
  </si>
  <si>
    <t>"unconfined".  In this case the spread sheet will change the pay factor to 100%,</t>
  </si>
  <si>
    <t>regardless of what is in the core data cells.</t>
  </si>
  <si>
    <t>Revision for 03MAY2007 - Made change to accommodate when there is only one</t>
  </si>
  <si>
    <t>Revision for 5/9/2007 - fixed error with the "low air void" provision of the specification</t>
  </si>
  <si>
    <t>The spread sheet was paying incentive when the LJD lot was giving incentive</t>
  </si>
  <si>
    <t xml:space="preserve">larger than the regular lot and when there was low air voids.  The spread sheet </t>
  </si>
  <si>
    <t xml:space="preserve">should have been setting the incentive to $0.00 when the incentive was positive </t>
  </si>
  <si>
    <t>and the air voids were low.  The spread sheet in cell block AI87:AI109 (version I)</t>
  </si>
  <si>
    <t>and cell block AI93:AL115 was testing the regular lot pay factor to see if it was</t>
  </si>
  <si>
    <t>greater than 1.00, when it should have been testing the composite pay factor, ie</t>
  </si>
  <si>
    <t>the combined regular lot cores and the LJD cores.  Also the cell blocks</t>
  </si>
  <si>
    <t>AU87:AU116 and AU93:AU116 were changed to test if the composite</t>
  </si>
  <si>
    <t>pay factor is greater than 1.00 when the air voids are low.</t>
  </si>
  <si>
    <t>Check for proper Core #</t>
  </si>
  <si>
    <t>Core#</t>
  </si>
  <si>
    <t>Remainder</t>
  </si>
  <si>
    <t>Condition</t>
  </si>
  <si>
    <t xml:space="preserve">In both sheets VERSION I and VERSION II in the cell where the LJD core ID is located, it will only accept values of #.1 and #.2.  Also </t>
  </si>
  <si>
    <t>the LJD cores are now labeled #.1L or R (Left or Right).  If an incorrect core ID for LJD is inserted, then a red label will appear with</t>
  </si>
  <si>
    <t>the words "Incorrect Core ID" and the LJD will not be calculated.</t>
  </si>
  <si>
    <t>The LJD will not be calculated if the core ID is incorrect.  How it does this is by not calculating the dry weight.</t>
  </si>
  <si>
    <t>(Column G44:G52) in VERSION I.</t>
  </si>
  <si>
    <t>Qualify for Incentive? (Full Density or Reduced Density)</t>
  </si>
  <si>
    <t>MAT DENSITY</t>
  </si>
  <si>
    <t>Edge Pay Factor</t>
  </si>
  <si>
    <t>Combined Edge Pay Factor</t>
  </si>
  <si>
    <t>Pay</t>
  </si>
  <si>
    <t>Factor</t>
  </si>
  <si>
    <t>TOTAL</t>
  </si>
  <si>
    <t>Core #</t>
  </si>
  <si>
    <t>Mat</t>
  </si>
  <si>
    <t>Density</t>
  </si>
  <si>
    <t>Combined</t>
  </si>
  <si>
    <t>Edge</t>
  </si>
  <si>
    <t xml:space="preserve">1st LJD </t>
  </si>
  <si>
    <t xml:space="preserve">2nd LJD </t>
  </si>
  <si>
    <t>Lot #</t>
  </si>
  <si>
    <t>Companion to Mat Core#</t>
  </si>
  <si>
    <t>Companion to Mat Core #</t>
  </si>
  <si>
    <t>Mat Density</t>
  </si>
  <si>
    <t>Total</t>
  </si>
  <si>
    <t>Changed LJD core labels back to Lot#.3L and Lot#.4.</t>
  </si>
  <si>
    <t>Combined Pay Factor Determination</t>
  </si>
  <si>
    <t>Updated Sheet "Version II" so it will label the cores and calculate LJD pay factors the same as sheet "Version I'</t>
  </si>
  <si>
    <t>SP Shld (4%)</t>
  </si>
  <si>
    <t>1%Reduced</t>
  </si>
  <si>
    <t>SP Shld (3%)</t>
  </si>
  <si>
    <t>Den. Col</t>
  </si>
  <si>
    <t>Sheets "Version I" and "Version II" were modified so that if the mix has low voids or out of spec then the incentive/disincentive will not be calculated.</t>
  </si>
  <si>
    <t>Note:=&gt;  Remove the "" from the equation in BR57 if the core shrinking tolerance should be checked.  (Currently it applies only the LJD projects, not this sheet.)</t>
  </si>
  <si>
    <t>Version I - The check for days average bulk specific gravities were being checked.  This is only in the LJD spec.  Therefore, that check was removed so only the individual tolerances between cores are compared.</t>
  </si>
  <si>
    <t>Date Paved</t>
  </si>
  <si>
    <t>Date Cored</t>
  </si>
  <si>
    <t>Note:=&gt;  Remove the "" from the equation in BR62 if the core shrinking tolerance should be checked.  (Currently it applies only the LJD projects, not this sheet.)</t>
  </si>
  <si>
    <t>Version II - The check for days average bulk specific gravities were being checked.  This is only in the LJD spec.  Therefore, that check was removed so only the individual tolerances between cores are compared.</t>
  </si>
  <si>
    <t xml:space="preserve">Revision for 08JUN2007 - made change that allowed incentive/disincentive dollars 
to be calculated when companion data is not entered.  In "Version I" page, cell
BQ57 is modified to be 
"=IF(BQ58=0,0,(IF(ABS(BR54-BQ54)&gt;(0.03/(BQ58^0.5)),1,0)))".  
In "Version II" page, cell BQ61 is modified to be 
"=IF(BQ62=0,0,(IF(ABS(BR58-BQ58)&gt;(0.03/(BQ62^0.5)),1,0)))".
Revision for 12JUN2007 - when the LJD incentive/disincentive modification
was added, the program would give incentive when the LJD incentive was
positive and the corresponding lot had positive pay factor, and the pay table
was chosen as reduced density.  In the version I page, the cell blocks
AG71:AG82, and AT87:AT110 were modified, and the cell block 
AV87:AV110 was added.  The first cell block was modified so that the index
is "1" when a reduced pay table is chosen.  The third cell block was created
to hold the original incentive pay factor, and the second cell block was modified
to test is the pay factor is positive and a reduced pay table is selected.  If this
is the case, then the pay factor is set to "$0.00".
For the version II page, the cell blocks AG77:AG88 and AT93:AT116 were modified
and cell block AV93:AV116 was added.
Revision for 25JUN2007 - expanded the "pay" factor table for the mat density cores
for both the "version I" and the "version II" worksheets.  Cell Block "U72:AA179"
was expanded to "U72:AA222" for "Version I" and cell block "U78:AA190" was 
expanded to "U78:AA233" for "Version II".  Formulas in blocks "AM87:AM107"
and "AM162:AM166" for "Version I" were modified to reflect this new table dimension.
Formulas in blocks "AM93:AM113" and "AM169:AM173" for "Version II" were 
modified to reflect this new table dimension.
Revision for 29JUN2007 - correct error that occurs when there are not two LJD cores
in a lot.  There has been an option for "no core", but if the core information isn't entered
then the calculations for money don't work.  In the "Version I" sheet, the following cells
have been modified to make this correction: G44, K44, BQ44, BS44, G45, K45, BQ45,
BS45.  
Revision for 30JUN2007 - change the formatting of the labels for the companion cores
for the LJD lots.
 </t>
  </si>
  <si>
    <t>Changed dates to reflect 2008 specification year.</t>
  </si>
  <si>
    <t>Modified Version I so it will diplay the total pay factor and include the LJD edge factors in the final $ for each lot</t>
  </si>
  <si>
    <t>Version I and Version II will now correctly calculate LJD pay factors for all lots.</t>
  </si>
  <si>
    <t>Sheets "Version I" and "Version II" were modified so the LJD portion will not display or calcuate.</t>
  </si>
  <si>
    <t xml:space="preserve">Sheet "Version I" cells $AN87 to $AN109 were missing a parenthesis so that SPNW could not be calculated. </t>
  </si>
  <si>
    <t>Version I - Moved the cell that the text message for using reduced density table to under the notes section in cell C58.</t>
  </si>
  <si>
    <t>Version II - Moved the cell that the text message for using reduced density table to under the notes section in cell C64</t>
  </si>
  <si>
    <t>Version II - Inserted a " " in cells G101 to G122 so the cells displaying # Value on the main sheet when there was no value to perform the calculation would show a blank instead.</t>
  </si>
  <si>
    <t>Version I - Changed the date and specification year.</t>
  </si>
  <si>
    <t>Version II - Changed the date and specification year.</t>
  </si>
  <si>
    <t>04/05/2010</t>
  </si>
  <si>
    <t>SPEC. YEAR  "2010"</t>
  </si>
  <si>
    <t xml:space="preserve">SPEC. YEAR  "2010" </t>
  </si>
</sst>
</file>

<file path=xl/styles.xml><?xml version="1.0" encoding="utf-8"?>
<styleSheet xmlns="http://schemas.openxmlformats.org/spreadsheetml/2006/main">
  <numFmts count="3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quot;$&quot;#,##0.00"/>
    <numFmt numFmtId="167" formatCode=".0&quot;C&quot;"/>
    <numFmt numFmtId="168" formatCode="0.0000"/>
    <numFmt numFmtId="169" formatCode="#\+###.00"/>
    <numFmt numFmtId="170" formatCode="#\+##0.00_);\(#,##0.00\)"/>
    <numFmt numFmtId="171" formatCode="0.0%"/>
    <numFmt numFmtId="172" formatCode="0.00000"/>
    <numFmt numFmtId="173" formatCode="#,##0.000"/>
    <numFmt numFmtId="174" formatCode="m/d/yy\ h:mm\ AM/PM"/>
    <numFmt numFmtId="175" formatCode="0.000000"/>
    <numFmt numFmtId="176" formatCode="#\+###"/>
    <numFmt numFmtId="177" formatCode="#\+##"/>
    <numFmt numFmtId="178" formatCode="00000"/>
    <numFmt numFmtId="179" formatCode="#\+00.00"/>
    <numFmt numFmtId="180" formatCode="#\+00"/>
    <numFmt numFmtId="181" formatCode="#\+000.00"/>
    <numFmt numFmtId="182" formatCode="#\+0000.00"/>
    <numFmt numFmtId="183" formatCode="#,##0.0"/>
    <numFmt numFmtId="184" formatCode="&quot;$&quot;#,##0.00;[Red]&quot;$&quot;#,##0.00"/>
    <numFmt numFmtId="185" formatCode="mm/dd/yy"/>
    <numFmt numFmtId="186" formatCode="m/d"/>
    <numFmt numFmtId="187" formatCode="#\+000\ "/>
    <numFmt numFmtId="188" formatCode="0.0000000000"/>
    <numFmt numFmtId="189" formatCode="&quot;Yes&quot;;&quot;Yes&quot;;&quot;No&quot;"/>
    <numFmt numFmtId="190" formatCode="&quot;True&quot;;&quot;True&quot;;&quot;False&quot;"/>
    <numFmt numFmtId="191" formatCode="&quot;On&quot;;&quot;On&quot;;&quot;Off&quot;"/>
    <numFmt numFmtId="192" formatCode="[$€-2]\ #,##0.00_);[Red]\([$€-2]\ #,##0.00\)"/>
    <numFmt numFmtId="193" formatCode="[$-409]dddd\,\ mmmm\ dd\,\ yyyy"/>
    <numFmt numFmtId="194" formatCode="mm/dd/yy;@"/>
  </numFmts>
  <fonts count="83">
    <font>
      <sz val="10"/>
      <name val="Arial"/>
      <family val="0"/>
    </font>
    <font>
      <sz val="6"/>
      <name val="Arial"/>
      <family val="2"/>
    </font>
    <font>
      <b/>
      <sz val="8"/>
      <color indexed="10"/>
      <name val="Arial"/>
      <family val="2"/>
    </font>
    <font>
      <sz val="12"/>
      <color indexed="10"/>
      <name val="Arial"/>
      <family val="2"/>
    </font>
    <font>
      <b/>
      <sz val="17"/>
      <name val="Arial"/>
      <family val="2"/>
    </font>
    <font>
      <sz val="18"/>
      <name val="Arial"/>
      <family val="2"/>
    </font>
    <font>
      <b/>
      <sz val="18"/>
      <name val="Arial"/>
      <family val="2"/>
    </font>
    <font>
      <sz val="14"/>
      <name val="Arial"/>
      <family val="2"/>
    </font>
    <font>
      <b/>
      <sz val="10"/>
      <color indexed="10"/>
      <name val="Arial"/>
      <family val="2"/>
    </font>
    <font>
      <b/>
      <sz val="14"/>
      <name val="Arial"/>
      <family val="2"/>
    </font>
    <font>
      <b/>
      <sz val="14"/>
      <color indexed="8"/>
      <name val="Arial"/>
      <family val="2"/>
    </font>
    <font>
      <sz val="8"/>
      <name val="Arial"/>
      <family val="2"/>
    </font>
    <font>
      <b/>
      <sz val="8"/>
      <name val="Arial"/>
      <family val="2"/>
    </font>
    <font>
      <b/>
      <sz val="10"/>
      <name val="Arial"/>
      <family val="2"/>
    </font>
    <font>
      <b/>
      <sz val="7"/>
      <name val="Arial"/>
      <family val="2"/>
    </font>
    <font>
      <sz val="10"/>
      <color indexed="10"/>
      <name val="Arial"/>
      <family val="2"/>
    </font>
    <font>
      <sz val="9"/>
      <name val="Arial"/>
      <family val="2"/>
    </font>
    <font>
      <b/>
      <sz val="9"/>
      <name val="Arial"/>
      <family val="2"/>
    </font>
    <font>
      <sz val="5"/>
      <name val="Arial"/>
      <family val="2"/>
    </font>
    <font>
      <sz val="7"/>
      <name val="Arial"/>
      <family val="2"/>
    </font>
    <font>
      <sz val="9"/>
      <color indexed="10"/>
      <name val="Arial"/>
      <family val="2"/>
    </font>
    <font>
      <b/>
      <sz val="12"/>
      <name val="Arial"/>
      <family val="2"/>
    </font>
    <font>
      <b/>
      <i/>
      <sz val="10"/>
      <name val="Arial"/>
      <family val="2"/>
    </font>
    <font>
      <sz val="24"/>
      <name val="Arial"/>
      <family val="2"/>
    </font>
    <font>
      <b/>
      <i/>
      <sz val="8"/>
      <name val="Arial"/>
      <family val="2"/>
    </font>
    <font>
      <b/>
      <sz val="8"/>
      <name val="Tahoma"/>
      <family val="0"/>
    </font>
    <font>
      <sz val="8"/>
      <name val="Tahoma"/>
      <family val="0"/>
    </font>
    <font>
      <u val="single"/>
      <sz val="10"/>
      <color indexed="36"/>
      <name val="Arial"/>
      <family val="0"/>
    </font>
    <font>
      <u val="single"/>
      <sz val="10"/>
      <color indexed="12"/>
      <name val="Arial"/>
      <family val="0"/>
    </font>
    <font>
      <sz val="12"/>
      <name val="Arial"/>
      <family val="2"/>
    </font>
    <font>
      <sz val="8"/>
      <color indexed="10"/>
      <name val="Arial"/>
      <family val="2"/>
    </font>
    <font>
      <b/>
      <sz val="20"/>
      <name val="Arial"/>
      <family val="2"/>
    </font>
    <font>
      <sz val="20"/>
      <name val="Arial"/>
      <family val="2"/>
    </font>
    <font>
      <b/>
      <i/>
      <sz val="14"/>
      <color indexed="10"/>
      <name val="Arial"/>
      <family val="2"/>
    </font>
    <font>
      <b/>
      <sz val="13"/>
      <color indexed="10"/>
      <name val="Arial"/>
      <family val="2"/>
    </font>
    <font>
      <b/>
      <sz val="11"/>
      <color indexed="10"/>
      <name val="Arial"/>
      <family val="2"/>
    </font>
    <font>
      <b/>
      <sz val="19"/>
      <name val="Arial"/>
      <family val="2"/>
    </font>
    <font>
      <sz val="19"/>
      <name val="Arial"/>
      <family val="2"/>
    </font>
    <font>
      <b/>
      <sz val="12"/>
      <color indexed="10"/>
      <name val="Arial"/>
      <family val="2"/>
    </font>
    <font>
      <b/>
      <sz val="11"/>
      <name val="Arial"/>
      <family val="2"/>
    </font>
    <font>
      <b/>
      <sz val="12"/>
      <color indexed="8"/>
      <name val="Arial"/>
      <family val="2"/>
    </font>
    <font>
      <b/>
      <sz val="24"/>
      <name val="Arial"/>
      <family val="2"/>
    </font>
    <font>
      <b/>
      <sz val="9"/>
      <color indexed="10"/>
      <name val="Arial"/>
      <family val="2"/>
    </font>
    <font>
      <sz val="10"/>
      <color indexed="9"/>
      <name val="Arial"/>
      <family val="2"/>
    </font>
    <font>
      <b/>
      <sz val="8"/>
      <color indexed="8"/>
      <name val="Arial"/>
      <family val="2"/>
    </font>
    <font>
      <b/>
      <sz val="9"/>
      <color indexed="8"/>
      <name val="Arial"/>
      <family val="2"/>
    </font>
    <font>
      <sz val="10"/>
      <color indexed="8"/>
      <name val="Arial"/>
      <family val="2"/>
    </font>
    <font>
      <sz val="11"/>
      <name val="Arial"/>
      <family val="2"/>
    </font>
    <font>
      <b/>
      <sz val="9"/>
      <color indexed="14"/>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44"/>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8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n"/>
      <right style="thin"/>
      <top style="thin"/>
      <bottom style="thin"/>
    </border>
    <border>
      <left>
        <color indexed="63"/>
      </left>
      <right>
        <color indexed="63"/>
      </right>
      <top>
        <color indexed="63"/>
      </top>
      <bottom style="double"/>
    </border>
    <border>
      <left style="thin"/>
      <right>
        <color indexed="63"/>
      </right>
      <top>
        <color indexed="63"/>
      </top>
      <bottom style="thin"/>
    </border>
    <border>
      <left style="medium"/>
      <right>
        <color indexed="63"/>
      </right>
      <top>
        <color indexed="63"/>
      </top>
      <bottom style="medium"/>
    </border>
    <border>
      <left>
        <color indexed="63"/>
      </left>
      <right>
        <color indexed="63"/>
      </right>
      <top>
        <color indexed="63"/>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thin"/>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style="thin"/>
      <top>
        <color indexed="63"/>
      </top>
      <bottom style="thin"/>
    </border>
    <border>
      <left>
        <color indexed="63"/>
      </left>
      <right style="thin"/>
      <top>
        <color indexed="63"/>
      </top>
      <bottom style="thin"/>
    </border>
    <border>
      <left>
        <color indexed="63"/>
      </left>
      <right style="medium"/>
      <top>
        <color indexed="63"/>
      </top>
      <bottom style="medium"/>
    </border>
    <border>
      <left style="medium"/>
      <right>
        <color indexed="63"/>
      </right>
      <top>
        <color indexed="63"/>
      </top>
      <bottom style="thin"/>
    </border>
    <border>
      <left>
        <color indexed="63"/>
      </left>
      <right style="medium"/>
      <top>
        <color indexed="63"/>
      </top>
      <bottom style="thin"/>
    </border>
    <border>
      <left>
        <color indexed="63"/>
      </left>
      <right>
        <color indexed="63"/>
      </right>
      <top>
        <color indexed="63"/>
      </top>
      <bottom style="medium"/>
    </border>
    <border>
      <left>
        <color indexed="63"/>
      </left>
      <right style="thin"/>
      <top style="thin"/>
      <bottom style="thin"/>
    </border>
    <border>
      <left>
        <color indexed="63"/>
      </left>
      <right style="thin"/>
      <top style="medium"/>
      <bottom>
        <color indexed="63"/>
      </bottom>
    </border>
    <border>
      <left style="thin"/>
      <right>
        <color indexed="63"/>
      </right>
      <top style="medium"/>
      <bottom>
        <color indexed="63"/>
      </bottom>
    </border>
    <border>
      <left style="thin"/>
      <right>
        <color indexed="63"/>
      </right>
      <top>
        <color indexed="63"/>
      </top>
      <bottom>
        <color indexed="63"/>
      </bottom>
    </border>
    <border>
      <left>
        <color indexed="63"/>
      </left>
      <right style="thin"/>
      <top>
        <color indexed="63"/>
      </top>
      <bottom style="medium"/>
    </border>
    <border>
      <left style="thin"/>
      <right>
        <color indexed="63"/>
      </right>
      <top>
        <color indexed="63"/>
      </top>
      <bottom style="medium"/>
    </border>
    <border>
      <left style="medium"/>
      <right>
        <color indexed="63"/>
      </right>
      <top>
        <color indexed="63"/>
      </top>
      <bottom style="double"/>
    </border>
    <border>
      <left>
        <color indexed="63"/>
      </left>
      <right style="medium"/>
      <top>
        <color indexed="63"/>
      </top>
      <bottom style="double"/>
    </border>
    <border>
      <left style="medium">
        <color indexed="39"/>
      </left>
      <right>
        <color indexed="63"/>
      </right>
      <top style="medium">
        <color indexed="39"/>
      </top>
      <bottom>
        <color indexed="63"/>
      </bottom>
    </border>
    <border>
      <left>
        <color indexed="63"/>
      </left>
      <right>
        <color indexed="63"/>
      </right>
      <top style="medium">
        <color indexed="39"/>
      </top>
      <bottom>
        <color indexed="63"/>
      </bottom>
    </border>
    <border>
      <left style="medium">
        <color indexed="39"/>
      </left>
      <right>
        <color indexed="63"/>
      </right>
      <top>
        <color indexed="63"/>
      </top>
      <bottom>
        <color indexed="63"/>
      </bottom>
    </border>
    <border>
      <left style="medium">
        <color indexed="39"/>
      </left>
      <right>
        <color indexed="63"/>
      </right>
      <top>
        <color indexed="63"/>
      </top>
      <bottom style="medium">
        <color indexed="39"/>
      </bottom>
    </border>
    <border>
      <left>
        <color indexed="63"/>
      </left>
      <right>
        <color indexed="63"/>
      </right>
      <top>
        <color indexed="63"/>
      </top>
      <bottom style="medium">
        <color indexed="39"/>
      </bottom>
    </border>
    <border>
      <left>
        <color indexed="63"/>
      </left>
      <right style="medium">
        <color indexed="39"/>
      </right>
      <top style="medium">
        <color indexed="39"/>
      </top>
      <bottom>
        <color indexed="63"/>
      </bottom>
    </border>
    <border>
      <left>
        <color indexed="63"/>
      </left>
      <right style="medium">
        <color indexed="39"/>
      </right>
      <top>
        <color indexed="63"/>
      </top>
      <bottom>
        <color indexed="63"/>
      </bottom>
    </border>
    <border>
      <left>
        <color indexed="63"/>
      </left>
      <right style="medium">
        <color indexed="39"/>
      </right>
      <top>
        <color indexed="63"/>
      </top>
      <bottom style="medium">
        <color indexed="39"/>
      </bottom>
    </border>
    <border>
      <left style="medium">
        <color indexed="8"/>
      </left>
      <right style="medium">
        <color indexed="39"/>
      </right>
      <top>
        <color indexed="63"/>
      </top>
      <bottom>
        <color indexed="63"/>
      </bottom>
    </border>
    <border>
      <left style="medium">
        <color indexed="8"/>
      </left>
      <right>
        <color indexed="63"/>
      </right>
      <top style="medium">
        <color indexed="8"/>
      </top>
      <bottom style="medium">
        <color indexed="8"/>
      </bottom>
    </border>
    <border>
      <left style="medium"/>
      <right>
        <color indexed="63"/>
      </right>
      <top style="thin"/>
      <bottom>
        <color indexed="63"/>
      </bottom>
    </border>
    <border>
      <left>
        <color indexed="63"/>
      </left>
      <right style="medium"/>
      <top style="thin"/>
      <bottom>
        <color indexed="63"/>
      </bottom>
    </border>
    <border>
      <left>
        <color indexed="63"/>
      </left>
      <right style="medium"/>
      <top style="double"/>
      <bottom style="thin"/>
    </border>
    <border>
      <left style="medium"/>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style="thin"/>
      <top style="double"/>
      <bottom style="thin"/>
    </border>
    <border>
      <left style="thin"/>
      <right>
        <color indexed="63"/>
      </right>
      <top style="double"/>
      <bottom style="thin"/>
    </border>
    <border>
      <left style="dashed"/>
      <right style="dashed"/>
      <top style="dashed"/>
      <bottom style="dashed"/>
    </border>
    <border>
      <left style="dashed"/>
      <right>
        <color indexed="63"/>
      </right>
      <top style="dashed"/>
      <bottom style="dashed"/>
    </border>
    <border>
      <left>
        <color indexed="63"/>
      </left>
      <right style="dashed"/>
      <top style="dashed"/>
      <bottom style="dashed"/>
    </border>
    <border>
      <left style="dashed"/>
      <right style="dashed"/>
      <top style="dashed"/>
      <bottom>
        <color indexed="63"/>
      </bottom>
    </border>
    <border>
      <left style="dashed"/>
      <right style="dashed"/>
      <top>
        <color indexed="63"/>
      </top>
      <bottom style="dashed"/>
    </border>
    <border>
      <left style="thick"/>
      <right style="thick"/>
      <top style="thick"/>
      <bottom style="dashed"/>
    </border>
    <border>
      <left style="thick"/>
      <right style="thick"/>
      <top style="dashed"/>
      <bottom style="dashed"/>
    </border>
    <border>
      <left style="thick"/>
      <right style="thick"/>
      <top style="dashed"/>
      <bottom style="thick"/>
    </border>
    <border>
      <left style="medium">
        <color indexed="8"/>
      </left>
      <right>
        <color indexed="63"/>
      </right>
      <top>
        <color indexed="63"/>
      </top>
      <bottom>
        <color indexed="63"/>
      </bottom>
    </border>
    <border>
      <left>
        <color indexed="63"/>
      </left>
      <right>
        <color indexed="63"/>
      </right>
      <top style="double"/>
      <bottom>
        <color indexed="63"/>
      </bottom>
    </border>
    <border>
      <left style="thin"/>
      <right>
        <color indexed="63"/>
      </right>
      <top style="thin"/>
      <bottom style="thin"/>
    </border>
    <border>
      <left>
        <color indexed="63"/>
      </left>
      <right style="medium"/>
      <top style="double"/>
      <bottom>
        <color indexed="63"/>
      </bottom>
    </border>
    <border>
      <left style="thin"/>
      <right>
        <color indexed="63"/>
      </right>
      <top style="thin"/>
      <bottom>
        <color indexed="63"/>
      </bottom>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7" fillId="20" borderId="0" applyNumberFormat="0" applyBorder="0" applyAlignment="0" applyProtection="0"/>
    <xf numFmtId="0" fontId="67" fillId="21" borderId="0" applyNumberFormat="0" applyBorder="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8" fillId="26" borderId="0" applyNumberFormat="0" applyBorder="0" applyAlignment="0" applyProtection="0"/>
    <xf numFmtId="0" fontId="69" fillId="27" borderId="1" applyNumberFormat="0" applyAlignment="0" applyProtection="0"/>
    <xf numFmtId="0" fontId="7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1" fillId="0" borderId="0" applyNumberFormat="0" applyFill="0" applyBorder="0" applyAlignment="0" applyProtection="0"/>
    <xf numFmtId="0" fontId="27" fillId="0" borderId="0" applyNumberFormat="0" applyFill="0" applyBorder="0" applyAlignment="0" applyProtection="0"/>
    <xf numFmtId="0" fontId="72" fillId="29" borderId="0" applyNumberFormat="0" applyBorder="0" applyAlignment="0" applyProtection="0"/>
    <xf numFmtId="0" fontId="73" fillId="0" borderId="3" applyNumberFormat="0" applyFill="0" applyAlignment="0" applyProtection="0"/>
    <xf numFmtId="0" fontId="74" fillId="0" borderId="4" applyNumberFormat="0" applyFill="0" applyAlignment="0" applyProtection="0"/>
    <xf numFmtId="0" fontId="75" fillId="0" borderId="5" applyNumberFormat="0" applyFill="0" applyAlignment="0" applyProtection="0"/>
    <xf numFmtId="0" fontId="75" fillId="0" borderId="0" applyNumberFormat="0" applyFill="0" applyBorder="0" applyAlignment="0" applyProtection="0"/>
    <xf numFmtId="0" fontId="28" fillId="0" borderId="0" applyNumberFormat="0" applyFill="0" applyBorder="0" applyAlignment="0" applyProtection="0"/>
    <xf numFmtId="0" fontId="76" fillId="30" borderId="1" applyNumberFormat="0" applyAlignment="0" applyProtection="0"/>
    <xf numFmtId="0" fontId="77" fillId="0" borderId="6" applyNumberFormat="0" applyFill="0" applyAlignment="0" applyProtection="0"/>
    <xf numFmtId="0" fontId="78" fillId="31" borderId="0" applyNumberFormat="0" applyBorder="0" applyAlignment="0" applyProtection="0"/>
    <xf numFmtId="0" fontId="0" fillId="32" borderId="7" applyNumberFormat="0" applyFont="0" applyAlignment="0" applyProtection="0"/>
    <xf numFmtId="0" fontId="79" fillId="27" borderId="8" applyNumberFormat="0" applyAlignment="0" applyProtection="0"/>
    <xf numFmtId="9" fontId="0" fillId="0" borderId="0" applyFont="0" applyFill="0" applyBorder="0" applyAlignment="0" applyProtection="0"/>
    <xf numFmtId="0" fontId="80" fillId="0" borderId="0" applyNumberFormat="0" applyFill="0" applyBorder="0" applyAlignment="0" applyProtection="0"/>
    <xf numFmtId="0" fontId="81" fillId="0" borderId="9" applyNumberFormat="0" applyFill="0" applyAlignment="0" applyProtection="0"/>
    <xf numFmtId="0" fontId="82" fillId="0" borderId="0" applyNumberFormat="0" applyFill="0" applyBorder="0" applyAlignment="0" applyProtection="0"/>
  </cellStyleXfs>
  <cellXfs count="942">
    <xf numFmtId="0" fontId="0" fillId="0" borderId="0" xfId="0" applyAlignment="1">
      <alignment/>
    </xf>
    <xf numFmtId="0" fontId="0" fillId="33" borderId="0" xfId="0" applyFont="1" applyFill="1" applyAlignment="1" applyProtection="1">
      <alignment/>
      <protection/>
    </xf>
    <xf numFmtId="0" fontId="0" fillId="34" borderId="10" xfId="0" applyFont="1" applyFill="1" applyBorder="1" applyAlignment="1" applyProtection="1">
      <alignment/>
      <protection/>
    </xf>
    <xf numFmtId="0" fontId="1" fillId="34" borderId="11" xfId="0" applyFont="1" applyFill="1" applyBorder="1" applyAlignment="1" applyProtection="1">
      <alignment horizontal="center"/>
      <protection/>
    </xf>
    <xf numFmtId="14" fontId="2" fillId="34" borderId="11" xfId="0" applyNumberFormat="1" applyFont="1" applyFill="1" applyBorder="1" applyAlignment="1" applyProtection="1">
      <alignment horizontal="center"/>
      <protection/>
    </xf>
    <xf numFmtId="0" fontId="0" fillId="34" borderId="11" xfId="0" applyFont="1" applyFill="1" applyBorder="1" applyAlignment="1" applyProtection="1">
      <alignment/>
      <protection/>
    </xf>
    <xf numFmtId="0" fontId="0" fillId="34" borderId="12" xfId="0" applyFont="1" applyFill="1" applyBorder="1" applyAlignment="1" applyProtection="1">
      <alignment/>
      <protection/>
    </xf>
    <xf numFmtId="0" fontId="0" fillId="33" borderId="0" xfId="0" applyFont="1" applyFill="1" applyBorder="1" applyAlignment="1" applyProtection="1">
      <alignment/>
      <protection/>
    </xf>
    <xf numFmtId="1" fontId="0" fillId="33" borderId="0" xfId="0" applyNumberFormat="1" applyFont="1" applyFill="1" applyAlignment="1" applyProtection="1">
      <alignment horizontal="center"/>
      <protection/>
    </xf>
    <xf numFmtId="0" fontId="5" fillId="34" borderId="0" xfId="0" applyFont="1" applyFill="1" applyBorder="1" applyAlignment="1" applyProtection="1">
      <alignment/>
      <protection/>
    </xf>
    <xf numFmtId="0" fontId="6" fillId="34" borderId="0" xfId="0" applyFont="1" applyFill="1" applyBorder="1" applyAlignment="1" applyProtection="1">
      <alignment horizontal="right"/>
      <protection/>
    </xf>
    <xf numFmtId="0" fontId="7" fillId="33" borderId="0" xfId="0" applyFont="1" applyFill="1" applyBorder="1" applyAlignment="1" applyProtection="1">
      <alignment/>
      <protection/>
    </xf>
    <xf numFmtId="164" fontId="0" fillId="33" borderId="0" xfId="0" applyNumberFormat="1" applyFont="1" applyFill="1" applyAlignment="1" applyProtection="1">
      <alignment/>
      <protection/>
    </xf>
    <xf numFmtId="164" fontId="0" fillId="33" borderId="0" xfId="0" applyNumberFormat="1" applyFont="1" applyFill="1" applyBorder="1" applyAlignment="1" applyProtection="1">
      <alignment/>
      <protection/>
    </xf>
    <xf numFmtId="0" fontId="0" fillId="34" borderId="13" xfId="0" applyFont="1" applyFill="1" applyBorder="1" applyAlignment="1" applyProtection="1">
      <alignment/>
      <protection/>
    </xf>
    <xf numFmtId="0" fontId="0" fillId="34" borderId="0" xfId="0" applyFont="1" applyFill="1" applyBorder="1" applyAlignment="1" applyProtection="1">
      <alignment/>
      <protection/>
    </xf>
    <xf numFmtId="0" fontId="8" fillId="34" borderId="0" xfId="0" applyFont="1" applyFill="1" applyBorder="1" applyAlignment="1" applyProtection="1">
      <alignment/>
      <protection/>
    </xf>
    <xf numFmtId="0" fontId="0" fillId="34" borderId="14" xfId="0" applyFont="1" applyFill="1" applyBorder="1" applyAlignment="1" applyProtection="1">
      <alignment/>
      <protection/>
    </xf>
    <xf numFmtId="164" fontId="0" fillId="33" borderId="0" xfId="0" applyNumberFormat="1" applyFont="1" applyFill="1" applyBorder="1" applyAlignment="1" applyProtection="1">
      <alignment horizontal="center"/>
      <protection/>
    </xf>
    <xf numFmtId="0" fontId="9" fillId="35" borderId="0" xfId="0" applyFont="1" applyFill="1" applyBorder="1" applyAlignment="1" applyProtection="1">
      <alignment horizontal="center"/>
      <protection/>
    </xf>
    <xf numFmtId="0" fontId="9" fillId="34" borderId="0" xfId="0" applyFont="1" applyFill="1" applyBorder="1" applyAlignment="1" applyProtection="1">
      <alignment horizontal="center"/>
      <protection/>
    </xf>
    <xf numFmtId="0" fontId="9" fillId="35" borderId="0" xfId="0" applyFont="1" applyFill="1" applyBorder="1" applyAlignment="1" applyProtection="1">
      <alignment horizontal="center"/>
      <protection locked="0"/>
    </xf>
    <xf numFmtId="0" fontId="9" fillId="34" borderId="0" xfId="0" applyFont="1" applyFill="1" applyBorder="1" applyAlignment="1" applyProtection="1">
      <alignment horizontal="left"/>
      <protection/>
    </xf>
    <xf numFmtId="1" fontId="0" fillId="33" borderId="0" xfId="0" applyNumberFormat="1" applyFont="1" applyFill="1" applyBorder="1" applyAlignment="1" applyProtection="1">
      <alignment horizontal="center"/>
      <protection/>
    </xf>
    <xf numFmtId="0" fontId="11" fillId="34" borderId="0" xfId="0" applyFont="1" applyFill="1" applyBorder="1" applyAlignment="1" applyProtection="1">
      <alignment horizontal="center"/>
      <protection/>
    </xf>
    <xf numFmtId="0" fontId="12" fillId="34" borderId="0" xfId="0" applyFont="1" applyFill="1" applyBorder="1" applyAlignment="1" applyProtection="1">
      <alignment horizontal="center"/>
      <protection/>
    </xf>
    <xf numFmtId="0" fontId="14" fillId="34" borderId="0" xfId="0" applyFont="1" applyFill="1" applyBorder="1" applyAlignment="1" applyProtection="1">
      <alignment horizontal="center"/>
      <protection/>
    </xf>
    <xf numFmtId="0" fontId="12" fillId="35" borderId="0" xfId="0" applyFont="1" applyFill="1" applyBorder="1" applyAlignment="1" applyProtection="1">
      <alignment horizontal="center"/>
      <protection locked="0"/>
    </xf>
    <xf numFmtId="0" fontId="0" fillId="34" borderId="0" xfId="0" applyFont="1" applyFill="1" applyBorder="1" applyAlignment="1" applyProtection="1">
      <alignment horizontal="center"/>
      <protection/>
    </xf>
    <xf numFmtId="0" fontId="11" fillId="34" borderId="0" xfId="0" applyFont="1" applyFill="1" applyBorder="1" applyAlignment="1" applyProtection="1">
      <alignment/>
      <protection/>
    </xf>
    <xf numFmtId="0" fontId="11" fillId="34" borderId="0" xfId="0" applyFont="1" applyFill="1" applyBorder="1" applyAlignment="1" applyProtection="1">
      <alignment horizontal="left"/>
      <protection/>
    </xf>
    <xf numFmtId="164" fontId="0" fillId="34" borderId="0" xfId="0" applyNumberFormat="1" applyFont="1" applyFill="1" applyBorder="1" applyAlignment="1" applyProtection="1">
      <alignment horizontal="center"/>
      <protection/>
    </xf>
    <xf numFmtId="0" fontId="11" fillId="34" borderId="0" xfId="0" applyFont="1" applyFill="1" applyBorder="1" applyAlignment="1" applyProtection="1">
      <alignment/>
      <protection/>
    </xf>
    <xf numFmtId="0" fontId="0" fillId="35" borderId="0" xfId="0" applyFont="1" applyFill="1" applyBorder="1" applyAlignment="1" applyProtection="1">
      <alignment horizontal="center"/>
      <protection locked="0"/>
    </xf>
    <xf numFmtId="165" fontId="0" fillId="35" borderId="0" xfId="0" applyNumberFormat="1" applyFont="1" applyFill="1" applyBorder="1" applyAlignment="1" applyProtection="1">
      <alignment horizontal="center"/>
      <protection locked="0"/>
    </xf>
    <xf numFmtId="0" fontId="17" fillId="34" borderId="0" xfId="0" applyFont="1" applyFill="1" applyBorder="1" applyAlignment="1" applyProtection="1">
      <alignment horizontal="center"/>
      <protection/>
    </xf>
    <xf numFmtId="8" fontId="0" fillId="35" borderId="0" xfId="0" applyNumberFormat="1" applyFont="1" applyFill="1" applyBorder="1" applyAlignment="1" applyProtection="1" quotePrefix="1">
      <alignment horizontal="center"/>
      <protection locked="0"/>
    </xf>
    <xf numFmtId="0" fontId="11" fillId="33" borderId="0" xfId="0" applyFont="1" applyFill="1" applyBorder="1" applyAlignment="1" applyProtection="1">
      <alignment/>
      <protection/>
    </xf>
    <xf numFmtId="0" fontId="11" fillId="33" borderId="0" xfId="0" applyFont="1" applyFill="1" applyAlignment="1" applyProtection="1">
      <alignment/>
      <protection/>
    </xf>
    <xf numFmtId="2" fontId="0" fillId="34" borderId="0" xfId="0" applyNumberFormat="1" applyFont="1" applyFill="1" applyBorder="1" applyAlignment="1" applyProtection="1">
      <alignment horizontal="center"/>
      <protection/>
    </xf>
    <xf numFmtId="0" fontId="17" fillId="35" borderId="0" xfId="0" applyFont="1" applyFill="1" applyBorder="1" applyAlignment="1" applyProtection="1">
      <alignment horizontal="center"/>
      <protection locked="0"/>
    </xf>
    <xf numFmtId="0" fontId="11" fillId="34" borderId="14" xfId="0" applyFont="1" applyFill="1" applyBorder="1" applyAlignment="1" applyProtection="1">
      <alignment/>
      <protection/>
    </xf>
    <xf numFmtId="0" fontId="0" fillId="34" borderId="0" xfId="0" applyFont="1" applyFill="1" applyBorder="1" applyAlignment="1" applyProtection="1">
      <alignment horizontal="center"/>
      <protection locked="0"/>
    </xf>
    <xf numFmtId="164" fontId="2" fillId="34" borderId="0" xfId="0" applyNumberFormat="1" applyFont="1" applyFill="1" applyBorder="1" applyAlignment="1" applyProtection="1">
      <alignment horizontal="left"/>
      <protection/>
    </xf>
    <xf numFmtId="0" fontId="18" fillId="33" borderId="0" xfId="0" applyFont="1" applyFill="1" applyAlignment="1" applyProtection="1">
      <alignment/>
      <protection/>
    </xf>
    <xf numFmtId="0" fontId="18" fillId="34" borderId="13" xfId="0" applyFont="1" applyFill="1" applyBorder="1" applyAlignment="1" applyProtection="1">
      <alignment/>
      <protection/>
    </xf>
    <xf numFmtId="0" fontId="18" fillId="34" borderId="14" xfId="0" applyFont="1" applyFill="1" applyBorder="1" applyAlignment="1" applyProtection="1">
      <alignment/>
      <protection/>
    </xf>
    <xf numFmtId="164" fontId="18" fillId="33" borderId="0" xfId="0" applyNumberFormat="1" applyFont="1" applyFill="1" applyAlignment="1" applyProtection="1">
      <alignment/>
      <protection/>
    </xf>
    <xf numFmtId="1" fontId="0" fillId="35" borderId="15" xfId="0" applyNumberFormat="1" applyFont="1" applyFill="1" applyBorder="1" applyAlignment="1" applyProtection="1">
      <alignment horizontal="center"/>
      <protection locked="0"/>
    </xf>
    <xf numFmtId="0" fontId="0" fillId="35" borderId="15" xfId="0" applyFont="1" applyFill="1" applyBorder="1" applyAlignment="1" applyProtection="1">
      <alignment horizontal="center"/>
      <protection locked="0"/>
    </xf>
    <xf numFmtId="0" fontId="0" fillId="33" borderId="0" xfId="0" applyFont="1" applyFill="1" applyBorder="1" applyAlignment="1" applyProtection="1">
      <alignment horizontal="center"/>
      <protection/>
    </xf>
    <xf numFmtId="0" fontId="0" fillId="34" borderId="14" xfId="0" applyFont="1" applyFill="1" applyBorder="1" applyAlignment="1" applyProtection="1">
      <alignment horizontal="center"/>
      <protection/>
    </xf>
    <xf numFmtId="1" fontId="0" fillId="34" borderId="15" xfId="0" applyNumberFormat="1" applyFont="1" applyFill="1" applyBorder="1" applyAlignment="1" applyProtection="1">
      <alignment horizontal="center"/>
      <protection/>
    </xf>
    <xf numFmtId="2" fontId="0" fillId="35" borderId="15" xfId="0" applyNumberFormat="1" applyFont="1" applyFill="1" applyBorder="1" applyAlignment="1" applyProtection="1">
      <alignment horizontal="center"/>
      <protection locked="0"/>
    </xf>
    <xf numFmtId="0" fontId="11" fillId="33" borderId="0" xfId="0" applyFont="1" applyFill="1" applyBorder="1" applyAlignment="1" applyProtection="1">
      <alignment horizontal="center"/>
      <protection/>
    </xf>
    <xf numFmtId="0" fontId="11" fillId="34" borderId="16" xfId="0" applyFont="1" applyFill="1" applyBorder="1" applyAlignment="1" applyProtection="1">
      <alignment horizontal="center"/>
      <protection/>
    </xf>
    <xf numFmtId="0" fontId="11" fillId="34" borderId="16" xfId="0" applyFont="1" applyFill="1" applyBorder="1" applyAlignment="1" applyProtection="1">
      <alignment/>
      <protection/>
    </xf>
    <xf numFmtId="0" fontId="19" fillId="34" borderId="16" xfId="0" applyFont="1" applyFill="1" applyBorder="1" applyAlignment="1" applyProtection="1">
      <alignment horizontal="center"/>
      <protection/>
    </xf>
    <xf numFmtId="1" fontId="11" fillId="33" borderId="0" xfId="0" applyNumberFormat="1" applyFont="1" applyFill="1" applyBorder="1" applyAlignment="1" applyProtection="1">
      <alignment horizontal="center"/>
      <protection/>
    </xf>
    <xf numFmtId="165" fontId="0" fillId="34" borderId="0" xfId="0" applyNumberFormat="1" applyFont="1" applyFill="1" applyBorder="1" applyAlignment="1" applyProtection="1">
      <alignment horizontal="center"/>
      <protection/>
    </xf>
    <xf numFmtId="164" fontId="0" fillId="34" borderId="0" xfId="59" applyNumberFormat="1" applyFont="1" applyFill="1" applyBorder="1" applyAlignment="1" applyProtection="1">
      <alignment horizontal="center"/>
      <protection/>
    </xf>
    <xf numFmtId="9" fontId="0" fillId="34" borderId="0" xfId="59" applyFont="1" applyFill="1" applyBorder="1" applyAlignment="1" applyProtection="1">
      <alignment horizontal="center"/>
      <protection/>
    </xf>
    <xf numFmtId="2" fontId="0" fillId="33" borderId="0" xfId="0" applyNumberFormat="1" applyFont="1" applyFill="1" applyBorder="1" applyAlignment="1" applyProtection="1">
      <alignment horizontal="center"/>
      <protection/>
    </xf>
    <xf numFmtId="1" fontId="0" fillId="33" borderId="0" xfId="0" applyNumberFormat="1" applyFont="1" applyFill="1" applyBorder="1" applyAlignment="1" applyProtection="1" quotePrefix="1">
      <alignment horizontal="center"/>
      <protection/>
    </xf>
    <xf numFmtId="165" fontId="0" fillId="33" borderId="0" xfId="0" applyNumberFormat="1" applyFont="1" applyFill="1" applyBorder="1" applyAlignment="1" applyProtection="1">
      <alignment horizontal="center"/>
      <protection/>
    </xf>
    <xf numFmtId="0" fontId="0" fillId="33" borderId="0" xfId="0" applyFont="1" applyFill="1" applyAlignment="1" applyProtection="1">
      <alignment horizontal="center"/>
      <protection/>
    </xf>
    <xf numFmtId="0" fontId="0" fillId="34" borderId="13" xfId="0" applyFont="1" applyFill="1" applyBorder="1" applyAlignment="1" applyProtection="1">
      <alignment horizontal="center"/>
      <protection/>
    </xf>
    <xf numFmtId="166" fontId="0" fillId="33" borderId="0" xfId="0" applyNumberFormat="1" applyFont="1" applyFill="1" applyBorder="1" applyAlignment="1" applyProtection="1" quotePrefix="1">
      <alignment horizontal="center"/>
      <protection/>
    </xf>
    <xf numFmtId="164" fontId="0" fillId="35" borderId="0" xfId="0" applyNumberFormat="1" applyFont="1" applyFill="1" applyBorder="1" applyAlignment="1" applyProtection="1">
      <alignment horizontal="center"/>
      <protection locked="0"/>
    </xf>
    <xf numFmtId="165" fontId="17" fillId="34" borderId="0" xfId="0" applyNumberFormat="1" applyFont="1" applyFill="1" applyBorder="1" applyAlignment="1" applyProtection="1">
      <alignment/>
      <protection/>
    </xf>
    <xf numFmtId="164" fontId="0" fillId="33" borderId="0" xfId="0" applyNumberFormat="1" applyFont="1" applyFill="1" applyBorder="1" applyAlignment="1" applyProtection="1" quotePrefix="1">
      <alignment horizontal="center"/>
      <protection/>
    </xf>
    <xf numFmtId="0" fontId="11" fillId="34" borderId="17" xfId="0" applyFont="1" applyFill="1" applyBorder="1" applyAlignment="1" applyProtection="1">
      <alignment horizontal="left"/>
      <protection/>
    </xf>
    <xf numFmtId="0" fontId="11" fillId="34" borderId="17" xfId="0" applyFont="1" applyFill="1" applyBorder="1" applyAlignment="1" applyProtection="1">
      <alignment horizontal="center"/>
      <protection/>
    </xf>
    <xf numFmtId="166" fontId="13" fillId="33" borderId="0" xfId="0" applyNumberFormat="1" applyFont="1" applyFill="1" applyBorder="1" applyAlignment="1" applyProtection="1">
      <alignment horizontal="center"/>
      <protection/>
    </xf>
    <xf numFmtId="0" fontId="16" fillId="34" borderId="18" xfId="0" applyFont="1" applyFill="1" applyBorder="1" applyAlignment="1" applyProtection="1">
      <alignment horizontal="center"/>
      <protection/>
    </xf>
    <xf numFmtId="0" fontId="6" fillId="33" borderId="0" xfId="0" applyFont="1" applyFill="1" applyBorder="1" applyAlignment="1" applyProtection="1">
      <alignment horizontal="right"/>
      <protection/>
    </xf>
    <xf numFmtId="0" fontId="6" fillId="33" borderId="0" xfId="0" applyFont="1" applyFill="1" applyBorder="1" applyAlignment="1" applyProtection="1">
      <alignment horizontal="left"/>
      <protection/>
    </xf>
    <xf numFmtId="0" fontId="23" fillId="33" borderId="0" xfId="0" applyFont="1" applyFill="1" applyBorder="1" applyAlignment="1" applyProtection="1">
      <alignment/>
      <protection/>
    </xf>
    <xf numFmtId="0" fontId="9" fillId="33" borderId="0" xfId="0" applyFont="1" applyFill="1" applyBorder="1" applyAlignment="1" applyProtection="1">
      <alignment horizontal="center"/>
      <protection/>
    </xf>
    <xf numFmtId="0" fontId="9" fillId="33" borderId="0" xfId="0" applyFont="1" applyFill="1" applyBorder="1" applyAlignment="1" applyProtection="1">
      <alignment/>
      <protection/>
    </xf>
    <xf numFmtId="0" fontId="9" fillId="33" borderId="0" xfId="0" applyFont="1" applyFill="1" applyBorder="1" applyAlignment="1" applyProtection="1">
      <alignment horizontal="left"/>
      <protection/>
    </xf>
    <xf numFmtId="14" fontId="7" fillId="33" borderId="0" xfId="0" applyNumberFormat="1" applyFont="1" applyFill="1" applyBorder="1" applyAlignment="1" applyProtection="1">
      <alignment/>
      <protection/>
    </xf>
    <xf numFmtId="2" fontId="16" fillId="0" borderId="0" xfId="0" applyNumberFormat="1" applyFont="1" applyBorder="1" applyAlignment="1" applyProtection="1">
      <alignment horizontal="center"/>
      <protection/>
    </xf>
    <xf numFmtId="14" fontId="16" fillId="34" borderId="15" xfId="0" applyNumberFormat="1" applyFont="1" applyFill="1" applyBorder="1" applyAlignment="1" applyProtection="1">
      <alignment horizontal="center"/>
      <protection/>
    </xf>
    <xf numFmtId="1" fontId="16" fillId="34" borderId="15" xfId="0" applyNumberFormat="1" applyFont="1" applyFill="1" applyBorder="1" applyAlignment="1" applyProtection="1">
      <alignment horizontal="center"/>
      <protection/>
    </xf>
    <xf numFmtId="0" fontId="16" fillId="34" borderId="0" xfId="0" applyFont="1" applyFill="1" applyBorder="1" applyAlignment="1" applyProtection="1">
      <alignment horizontal="center"/>
      <protection/>
    </xf>
    <xf numFmtId="2" fontId="16" fillId="34" borderId="15" xfId="0" applyNumberFormat="1" applyFont="1" applyFill="1" applyBorder="1" applyAlignment="1" applyProtection="1">
      <alignment horizontal="center"/>
      <protection/>
    </xf>
    <xf numFmtId="1" fontId="16" fillId="34" borderId="0" xfId="0" applyNumberFormat="1" applyFont="1" applyFill="1" applyBorder="1" applyAlignment="1" applyProtection="1">
      <alignment horizontal="center"/>
      <protection/>
    </xf>
    <xf numFmtId="2" fontId="16" fillId="33" borderId="0" xfId="0" applyNumberFormat="1" applyFont="1" applyFill="1" applyBorder="1" applyAlignment="1" applyProtection="1">
      <alignment horizontal="center"/>
      <protection/>
    </xf>
    <xf numFmtId="2" fontId="16" fillId="34" borderId="0" xfId="0" applyNumberFormat="1" applyFont="1" applyFill="1" applyBorder="1" applyAlignment="1" applyProtection="1">
      <alignment horizontal="center"/>
      <protection/>
    </xf>
    <xf numFmtId="2" fontId="20" fillId="34" borderId="0" xfId="0" applyNumberFormat="1" applyFont="1" applyFill="1" applyBorder="1" applyAlignment="1" applyProtection="1">
      <alignment horizontal="center"/>
      <protection/>
    </xf>
    <xf numFmtId="164" fontId="16" fillId="34" borderId="0" xfId="0" applyNumberFormat="1" applyFont="1" applyFill="1" applyBorder="1" applyAlignment="1" applyProtection="1">
      <alignment horizontal="center"/>
      <protection/>
    </xf>
    <xf numFmtId="0" fontId="16" fillId="34" borderId="0" xfId="0" applyFont="1" applyFill="1" applyAlignment="1" applyProtection="1">
      <alignment horizontal="center"/>
      <protection/>
    </xf>
    <xf numFmtId="164" fontId="16" fillId="34" borderId="19" xfId="0" applyNumberFormat="1" applyFont="1" applyFill="1" applyBorder="1" applyAlignment="1" applyProtection="1">
      <alignment horizontal="center"/>
      <protection/>
    </xf>
    <xf numFmtId="2" fontId="16" fillId="34" borderId="0" xfId="0" applyNumberFormat="1" applyFont="1" applyFill="1" applyBorder="1" applyAlignment="1" applyProtection="1" quotePrefix="1">
      <alignment horizontal="center"/>
      <protection/>
    </xf>
    <xf numFmtId="14" fontId="12" fillId="33" borderId="0" xfId="0" applyNumberFormat="1" applyFont="1" applyFill="1" applyBorder="1" applyAlignment="1" applyProtection="1">
      <alignment horizontal="center"/>
      <protection/>
    </xf>
    <xf numFmtId="14" fontId="11" fillId="33" borderId="0" xfId="0" applyNumberFormat="1" applyFont="1" applyFill="1" applyBorder="1" applyAlignment="1" applyProtection="1">
      <alignment horizontal="center"/>
      <protection/>
    </xf>
    <xf numFmtId="9" fontId="0" fillId="33" borderId="0" xfId="59" applyFont="1" applyFill="1" applyBorder="1" applyAlignment="1" applyProtection="1">
      <alignment horizontal="center"/>
      <protection/>
    </xf>
    <xf numFmtId="164" fontId="0" fillId="33" borderId="0" xfId="59" applyNumberFormat="1" applyFont="1" applyFill="1" applyBorder="1" applyAlignment="1" applyProtection="1">
      <alignment horizontal="center"/>
      <protection/>
    </xf>
    <xf numFmtId="167" fontId="11" fillId="33" borderId="0" xfId="0" applyNumberFormat="1" applyFont="1" applyFill="1" applyBorder="1" applyAlignment="1" applyProtection="1">
      <alignment horizontal="center"/>
      <protection/>
    </xf>
    <xf numFmtId="0" fontId="0" fillId="33" borderId="0" xfId="0" applyFont="1" applyFill="1" applyBorder="1" applyAlignment="1" applyProtection="1">
      <alignment horizontal="right"/>
      <protection/>
    </xf>
    <xf numFmtId="166" fontId="0" fillId="33" borderId="0" xfId="0" applyNumberFormat="1" applyFont="1" applyFill="1" applyBorder="1" applyAlignment="1" applyProtection="1">
      <alignment/>
      <protection/>
    </xf>
    <xf numFmtId="0" fontId="22" fillId="33" borderId="0" xfId="0" applyFont="1" applyFill="1" applyBorder="1" applyAlignment="1" applyProtection="1">
      <alignment/>
      <protection/>
    </xf>
    <xf numFmtId="0" fontId="6" fillId="33" borderId="0" xfId="0" applyFont="1" applyFill="1" applyBorder="1" applyAlignment="1" applyProtection="1">
      <alignment/>
      <protection/>
    </xf>
    <xf numFmtId="0" fontId="13" fillId="33" borderId="0" xfId="0" applyFont="1" applyFill="1" applyBorder="1" applyAlignment="1" applyProtection="1">
      <alignment horizontal="center"/>
      <protection/>
    </xf>
    <xf numFmtId="0" fontId="12" fillId="33" borderId="0" xfId="0" applyFont="1" applyFill="1" applyBorder="1" applyAlignment="1" applyProtection="1">
      <alignment horizontal="left"/>
      <protection/>
    </xf>
    <xf numFmtId="14" fontId="11" fillId="33" borderId="0" xfId="0" applyNumberFormat="1" applyFont="1" applyFill="1" applyBorder="1" applyAlignment="1" applyProtection="1">
      <alignment/>
      <protection/>
    </xf>
    <xf numFmtId="0" fontId="11" fillId="33" borderId="0" xfId="0" applyFont="1" applyFill="1" applyBorder="1" applyAlignment="1" applyProtection="1">
      <alignment horizontal="left"/>
      <protection/>
    </xf>
    <xf numFmtId="14" fontId="0" fillId="33" borderId="0" xfId="0" applyNumberFormat="1" applyFont="1" applyFill="1" applyBorder="1" applyAlignment="1" applyProtection="1">
      <alignment horizontal="center"/>
      <protection/>
    </xf>
    <xf numFmtId="0" fontId="11" fillId="33" borderId="0" xfId="0" applyFont="1" applyFill="1" applyBorder="1" applyAlignment="1" applyProtection="1">
      <alignment horizontal="right"/>
      <protection/>
    </xf>
    <xf numFmtId="0" fontId="11" fillId="33" borderId="0" xfId="0" applyFont="1" applyFill="1" applyBorder="1" applyAlignment="1" applyProtection="1">
      <alignment/>
      <protection/>
    </xf>
    <xf numFmtId="8" fontId="0" fillId="33" borderId="0" xfId="0" applyNumberFormat="1" applyFont="1" applyFill="1" applyBorder="1" applyAlignment="1" applyProtection="1" quotePrefix="1">
      <alignment horizontal="center"/>
      <protection/>
    </xf>
    <xf numFmtId="0" fontId="12" fillId="33" borderId="0" xfId="0" applyFont="1" applyFill="1" applyBorder="1" applyAlignment="1" applyProtection="1">
      <alignment horizontal="center"/>
      <protection/>
    </xf>
    <xf numFmtId="14" fontId="13" fillId="33" borderId="0" xfId="0" applyNumberFormat="1" applyFont="1" applyFill="1" applyBorder="1" applyAlignment="1" applyProtection="1">
      <alignment horizontal="center"/>
      <protection/>
    </xf>
    <xf numFmtId="166" fontId="0" fillId="33" borderId="0" xfId="0" applyNumberFormat="1" applyFont="1" applyFill="1" applyBorder="1" applyAlignment="1" applyProtection="1">
      <alignment horizontal="center"/>
      <protection/>
    </xf>
    <xf numFmtId="8" fontId="0" fillId="33" borderId="0" xfId="0" applyNumberFormat="1" applyFont="1" applyFill="1" applyBorder="1" applyAlignment="1" applyProtection="1">
      <alignment/>
      <protection/>
    </xf>
    <xf numFmtId="167" fontId="0" fillId="33" borderId="0" xfId="0" applyNumberFormat="1" applyFont="1" applyFill="1" applyBorder="1" applyAlignment="1" applyProtection="1">
      <alignment horizontal="center"/>
      <protection/>
    </xf>
    <xf numFmtId="0" fontId="13" fillId="33" borderId="0" xfId="0" applyFont="1" applyFill="1" applyBorder="1" applyAlignment="1" applyProtection="1">
      <alignment/>
      <protection/>
    </xf>
    <xf numFmtId="165" fontId="16" fillId="34" borderId="16" xfId="0" applyNumberFormat="1" applyFont="1" applyFill="1" applyBorder="1" applyAlignment="1" applyProtection="1">
      <alignment/>
      <protection hidden="1"/>
    </xf>
    <xf numFmtId="2" fontId="0" fillId="34" borderId="16" xfId="0" applyNumberFormat="1" applyFont="1" applyFill="1" applyBorder="1" applyAlignment="1" applyProtection="1">
      <alignment horizontal="center"/>
      <protection hidden="1"/>
    </xf>
    <xf numFmtId="0" fontId="29" fillId="0" borderId="0" xfId="0" applyFont="1" applyFill="1" applyAlignment="1">
      <alignment/>
    </xf>
    <xf numFmtId="9" fontId="29" fillId="0" borderId="0" xfId="59" applyFont="1" applyFill="1" applyAlignment="1">
      <alignment/>
    </xf>
    <xf numFmtId="0" fontId="29" fillId="34" borderId="0" xfId="0" applyFont="1" applyFill="1" applyAlignment="1">
      <alignment/>
    </xf>
    <xf numFmtId="0" fontId="11" fillId="34" borderId="14" xfId="0" applyFont="1" applyFill="1" applyBorder="1" applyAlignment="1" applyProtection="1">
      <alignment horizontal="center"/>
      <protection/>
    </xf>
    <xf numFmtId="0" fontId="4" fillId="34" borderId="0" xfId="0" applyFont="1" applyFill="1" applyBorder="1" applyAlignment="1" applyProtection="1">
      <alignment horizontal="left"/>
      <protection/>
    </xf>
    <xf numFmtId="167" fontId="11" fillId="34" borderId="0" xfId="0" applyNumberFormat="1" applyFont="1" applyFill="1" applyBorder="1" applyAlignment="1" applyProtection="1">
      <alignment horizontal="center"/>
      <protection/>
    </xf>
    <xf numFmtId="0" fontId="16" fillId="34" borderId="0" xfId="0" applyFont="1" applyFill="1" applyBorder="1" applyAlignment="1" applyProtection="1">
      <alignment/>
      <protection/>
    </xf>
    <xf numFmtId="0" fontId="19" fillId="34" borderId="0" xfId="0" applyFont="1" applyFill="1" applyBorder="1" applyAlignment="1" applyProtection="1">
      <alignment horizontal="center"/>
      <protection/>
    </xf>
    <xf numFmtId="0" fontId="7" fillId="34" borderId="14" xfId="0" applyFont="1" applyFill="1" applyBorder="1" applyAlignment="1" applyProtection="1">
      <alignment/>
      <protection/>
    </xf>
    <xf numFmtId="0" fontId="15" fillId="34" borderId="14" xfId="0" applyFont="1" applyFill="1" applyBorder="1" applyAlignment="1" applyProtection="1">
      <alignment/>
      <protection/>
    </xf>
    <xf numFmtId="2" fontId="0" fillId="34" borderId="14" xfId="0" applyNumberFormat="1" applyFont="1" applyFill="1" applyBorder="1" applyAlignment="1" applyProtection="1">
      <alignment horizontal="center"/>
      <protection/>
    </xf>
    <xf numFmtId="166" fontId="0" fillId="34" borderId="14" xfId="0" applyNumberFormat="1" applyFont="1" applyFill="1" applyBorder="1" applyAlignment="1" applyProtection="1" quotePrefix="1">
      <alignment horizontal="center"/>
      <protection/>
    </xf>
    <xf numFmtId="166" fontId="13" fillId="34" borderId="14" xfId="0" applyNumberFormat="1" applyFont="1" applyFill="1" applyBorder="1" applyAlignment="1" applyProtection="1">
      <alignment horizontal="center"/>
      <protection/>
    </xf>
    <xf numFmtId="2" fontId="0" fillId="33" borderId="0" xfId="0" applyNumberFormat="1" applyFont="1" applyFill="1" applyAlignment="1" applyProtection="1">
      <alignment horizontal="center"/>
      <protection/>
    </xf>
    <xf numFmtId="2" fontId="0" fillId="36" borderId="15" xfId="0" applyNumberFormat="1" applyFont="1" applyFill="1" applyBorder="1" applyAlignment="1" applyProtection="1">
      <alignment horizontal="center"/>
      <protection/>
    </xf>
    <xf numFmtId="164" fontId="0" fillId="36" borderId="15" xfId="0" applyNumberFormat="1" applyFont="1" applyFill="1" applyBorder="1" applyAlignment="1" applyProtection="1">
      <alignment horizontal="center"/>
      <protection/>
    </xf>
    <xf numFmtId="0" fontId="16" fillId="33" borderId="0" xfId="0" applyFont="1" applyFill="1" applyBorder="1" applyAlignment="1" applyProtection="1">
      <alignment horizontal="center"/>
      <protection/>
    </xf>
    <xf numFmtId="1" fontId="16" fillId="33" borderId="0" xfId="0" applyNumberFormat="1" applyFont="1" applyFill="1" applyBorder="1" applyAlignment="1" applyProtection="1">
      <alignment horizontal="center"/>
      <protection/>
    </xf>
    <xf numFmtId="2" fontId="20" fillId="33" borderId="0" xfId="0" applyNumberFormat="1" applyFont="1" applyFill="1" applyBorder="1" applyAlignment="1" applyProtection="1">
      <alignment horizontal="center"/>
      <protection/>
    </xf>
    <xf numFmtId="0" fontId="0" fillId="36" borderId="0" xfId="0" applyFont="1" applyFill="1" applyAlignment="1" applyProtection="1">
      <alignment horizontal="center"/>
      <protection/>
    </xf>
    <xf numFmtId="0" fontId="0" fillId="36" borderId="0" xfId="0" applyFont="1" applyFill="1" applyAlignment="1" applyProtection="1">
      <alignment/>
      <protection/>
    </xf>
    <xf numFmtId="2" fontId="0" fillId="36" borderId="20" xfId="0" applyNumberFormat="1" applyFont="1" applyFill="1" applyBorder="1" applyAlignment="1" applyProtection="1">
      <alignment horizontal="center"/>
      <protection/>
    </xf>
    <xf numFmtId="2" fontId="0" fillId="36" borderId="21" xfId="0" applyNumberFormat="1" applyFont="1" applyFill="1" applyBorder="1" applyAlignment="1" applyProtection="1">
      <alignment horizontal="center"/>
      <protection/>
    </xf>
    <xf numFmtId="2" fontId="0" fillId="36" borderId="22" xfId="0" applyNumberFormat="1" applyFont="1" applyFill="1" applyBorder="1" applyAlignment="1" applyProtection="1">
      <alignment horizontal="center"/>
      <protection/>
    </xf>
    <xf numFmtId="2" fontId="0" fillId="36" borderId="23" xfId="0" applyNumberFormat="1" applyFont="1" applyFill="1" applyBorder="1" applyAlignment="1" applyProtection="1">
      <alignment horizontal="center"/>
      <protection/>
    </xf>
    <xf numFmtId="2" fontId="0" fillId="36" borderId="24" xfId="0" applyNumberFormat="1" applyFont="1" applyFill="1" applyBorder="1" applyAlignment="1" applyProtection="1">
      <alignment horizontal="center"/>
      <protection/>
    </xf>
    <xf numFmtId="2" fontId="0" fillId="36" borderId="25" xfId="0" applyNumberFormat="1" applyFont="1" applyFill="1" applyBorder="1" applyAlignment="1" applyProtection="1">
      <alignment horizontal="center"/>
      <protection/>
    </xf>
    <xf numFmtId="2" fontId="0" fillId="36" borderId="26" xfId="0" applyNumberFormat="1" applyFont="1" applyFill="1" applyBorder="1" applyAlignment="1" applyProtection="1">
      <alignment horizontal="center"/>
      <protection/>
    </xf>
    <xf numFmtId="2" fontId="0" fillId="36" borderId="27" xfId="0" applyNumberFormat="1" applyFont="1" applyFill="1" applyBorder="1" applyAlignment="1" applyProtection="1">
      <alignment horizontal="center"/>
      <protection/>
    </xf>
    <xf numFmtId="2" fontId="0" fillId="36" borderId="28" xfId="0" applyNumberFormat="1" applyFont="1" applyFill="1" applyBorder="1" applyAlignment="1" applyProtection="1">
      <alignment horizontal="center"/>
      <protection/>
    </xf>
    <xf numFmtId="2" fontId="0" fillId="36" borderId="29" xfId="0" applyNumberFormat="1" applyFont="1" applyFill="1" applyBorder="1" applyAlignment="1" applyProtection="1">
      <alignment horizontal="center"/>
      <protection/>
    </xf>
    <xf numFmtId="2" fontId="0" fillId="36" borderId="30" xfId="0" applyNumberFormat="1" applyFont="1" applyFill="1" applyBorder="1" applyAlignment="1" applyProtection="1">
      <alignment horizontal="center"/>
      <protection/>
    </xf>
    <xf numFmtId="0" fontId="0" fillId="36" borderId="28" xfId="0" applyFont="1" applyFill="1" applyBorder="1" applyAlignment="1" applyProtection="1">
      <alignment horizontal="center"/>
      <protection/>
    </xf>
    <xf numFmtId="0" fontId="0" fillId="36" borderId="29" xfId="0" applyFont="1" applyFill="1" applyBorder="1" applyAlignment="1" applyProtection="1">
      <alignment horizontal="center"/>
      <protection/>
    </xf>
    <xf numFmtId="0" fontId="0" fillId="36" borderId="30" xfId="0" applyFont="1" applyFill="1" applyBorder="1" applyAlignment="1" applyProtection="1">
      <alignment horizontal="center"/>
      <protection/>
    </xf>
    <xf numFmtId="164" fontId="0" fillId="36" borderId="20" xfId="0" applyNumberFormat="1" applyFont="1" applyFill="1" applyBorder="1" applyAlignment="1" applyProtection="1">
      <alignment horizontal="center"/>
      <protection/>
    </xf>
    <xf numFmtId="164" fontId="0" fillId="36" borderId="21" xfId="0" applyNumberFormat="1" applyFont="1" applyFill="1" applyBorder="1" applyAlignment="1" applyProtection="1">
      <alignment horizontal="center"/>
      <protection/>
    </xf>
    <xf numFmtId="164" fontId="0" fillId="36" borderId="22" xfId="0" applyNumberFormat="1" applyFont="1" applyFill="1" applyBorder="1" applyAlignment="1" applyProtection="1">
      <alignment horizontal="center"/>
      <protection/>
    </xf>
    <xf numFmtId="164" fontId="0" fillId="36" borderId="23" xfId="0" applyNumberFormat="1" applyFont="1" applyFill="1" applyBorder="1" applyAlignment="1" applyProtection="1">
      <alignment horizontal="center"/>
      <protection/>
    </xf>
    <xf numFmtId="164" fontId="0" fillId="36" borderId="24" xfId="0" applyNumberFormat="1" applyFont="1" applyFill="1" applyBorder="1" applyAlignment="1" applyProtection="1">
      <alignment horizontal="center"/>
      <protection/>
    </xf>
    <xf numFmtId="164" fontId="0" fillId="36" borderId="25" xfId="0" applyNumberFormat="1" applyFont="1" applyFill="1" applyBorder="1" applyAlignment="1" applyProtection="1">
      <alignment horizontal="center"/>
      <protection/>
    </xf>
    <xf numFmtId="164" fontId="0" fillId="36" borderId="26" xfId="0" applyNumberFormat="1" applyFont="1" applyFill="1" applyBorder="1" applyAlignment="1" applyProtection="1">
      <alignment horizontal="center"/>
      <protection/>
    </xf>
    <xf numFmtId="164" fontId="0" fillId="36" borderId="27" xfId="0" applyNumberFormat="1" applyFont="1" applyFill="1" applyBorder="1" applyAlignment="1" applyProtection="1">
      <alignment horizontal="center"/>
      <protection/>
    </xf>
    <xf numFmtId="0" fontId="17" fillId="34" borderId="29" xfId="0" applyFont="1" applyFill="1" applyBorder="1" applyAlignment="1" applyProtection="1">
      <alignment horizontal="center"/>
      <protection/>
    </xf>
    <xf numFmtId="0" fontId="16" fillId="34" borderId="15" xfId="0" applyFont="1" applyFill="1" applyBorder="1" applyAlignment="1" applyProtection="1">
      <alignment horizontal="center"/>
      <protection/>
    </xf>
    <xf numFmtId="0" fontId="17" fillId="34" borderId="31" xfId="0" applyFont="1" applyFill="1" applyBorder="1" applyAlignment="1" applyProtection="1">
      <alignment horizontal="center"/>
      <protection/>
    </xf>
    <xf numFmtId="0" fontId="16" fillId="34" borderId="32" xfId="0" applyFont="1" applyFill="1" applyBorder="1" applyAlignment="1" applyProtection="1">
      <alignment horizontal="center"/>
      <protection/>
    </xf>
    <xf numFmtId="0" fontId="16" fillId="34" borderId="33" xfId="0" applyFont="1" applyFill="1" applyBorder="1" applyAlignment="1" applyProtection="1">
      <alignment horizontal="center"/>
      <protection/>
    </xf>
    <xf numFmtId="14" fontId="17" fillId="34" borderId="31" xfId="0" applyNumberFormat="1" applyFont="1" applyFill="1" applyBorder="1" applyAlignment="1" applyProtection="1">
      <alignment horizontal="center"/>
      <protection/>
    </xf>
    <xf numFmtId="0" fontId="16" fillId="34" borderId="34" xfId="0" applyFont="1" applyFill="1" applyBorder="1" applyAlignment="1" applyProtection="1">
      <alignment horizontal="center"/>
      <protection/>
    </xf>
    <xf numFmtId="14" fontId="17" fillId="34" borderId="35" xfId="0" applyNumberFormat="1" applyFont="1" applyFill="1" applyBorder="1" applyAlignment="1" applyProtection="1">
      <alignment horizontal="center"/>
      <protection/>
    </xf>
    <xf numFmtId="8" fontId="16" fillId="34" borderId="0" xfId="0" applyNumberFormat="1" applyFont="1" applyFill="1" applyAlignment="1" applyProtection="1">
      <alignment horizontal="center"/>
      <protection/>
    </xf>
    <xf numFmtId="164" fontId="16" fillId="34" borderId="0" xfId="0" applyNumberFormat="1" applyFont="1" applyFill="1" applyAlignment="1" applyProtection="1">
      <alignment horizontal="center"/>
      <protection/>
    </xf>
    <xf numFmtId="0" fontId="16" fillId="34" borderId="19" xfId="0" applyFont="1" applyFill="1" applyBorder="1" applyAlignment="1" applyProtection="1">
      <alignment horizontal="center"/>
      <protection/>
    </xf>
    <xf numFmtId="0" fontId="16" fillId="34" borderId="36" xfId="0" applyFont="1" applyFill="1" applyBorder="1" applyAlignment="1" applyProtection="1">
      <alignment horizontal="center"/>
      <protection/>
    </xf>
    <xf numFmtId="0" fontId="0" fillId="34" borderId="0" xfId="0" applyFont="1" applyFill="1" applyAlignment="1" applyProtection="1">
      <alignment/>
      <protection/>
    </xf>
    <xf numFmtId="49" fontId="16" fillId="34" borderId="0" xfId="0" applyNumberFormat="1" applyFont="1" applyFill="1" applyAlignment="1" applyProtection="1">
      <alignment horizontal="center"/>
      <protection/>
    </xf>
    <xf numFmtId="2" fontId="16" fillId="34" borderId="0" xfId="0" applyNumberFormat="1" applyFont="1" applyFill="1" applyAlignment="1" applyProtection="1">
      <alignment horizontal="center"/>
      <protection/>
    </xf>
    <xf numFmtId="0" fontId="16" fillId="34" borderId="37" xfId="0" applyFont="1" applyFill="1" applyBorder="1" applyAlignment="1" applyProtection="1">
      <alignment horizontal="center"/>
      <protection/>
    </xf>
    <xf numFmtId="164" fontId="16" fillId="36" borderId="15" xfId="0" applyNumberFormat="1" applyFont="1" applyFill="1" applyBorder="1" applyAlignment="1" applyProtection="1">
      <alignment horizontal="center"/>
      <protection/>
    </xf>
    <xf numFmtId="0" fontId="16" fillId="36" borderId="15" xfId="0" applyFont="1" applyFill="1" applyBorder="1" applyAlignment="1" applyProtection="1">
      <alignment horizontal="center"/>
      <protection/>
    </xf>
    <xf numFmtId="2" fontId="16" fillId="36" borderId="15" xfId="0" applyNumberFormat="1" applyFont="1" applyFill="1" applyBorder="1" applyAlignment="1" applyProtection="1">
      <alignment horizontal="center"/>
      <protection/>
    </xf>
    <xf numFmtId="0" fontId="16" fillId="36" borderId="20" xfId="0" applyFont="1" applyFill="1" applyBorder="1" applyAlignment="1" applyProtection="1">
      <alignment horizontal="center"/>
      <protection/>
    </xf>
    <xf numFmtId="0" fontId="16" fillId="36" borderId="21" xfId="0" applyFont="1" applyFill="1" applyBorder="1" applyAlignment="1" applyProtection="1">
      <alignment horizontal="center"/>
      <protection/>
    </xf>
    <xf numFmtId="0" fontId="16" fillId="36" borderId="22" xfId="0" applyFont="1" applyFill="1" applyBorder="1" applyAlignment="1" applyProtection="1">
      <alignment horizontal="center"/>
      <protection/>
    </xf>
    <xf numFmtId="0" fontId="16" fillId="36" borderId="23" xfId="0" applyFont="1" applyFill="1" applyBorder="1" applyAlignment="1" applyProtection="1">
      <alignment horizontal="center"/>
      <protection/>
    </xf>
    <xf numFmtId="0" fontId="16" fillId="36" borderId="24" xfId="0" applyFont="1" applyFill="1" applyBorder="1" applyAlignment="1" applyProtection="1">
      <alignment horizontal="center"/>
      <protection/>
    </xf>
    <xf numFmtId="1" fontId="16" fillId="36" borderId="24" xfId="0" applyNumberFormat="1" applyFont="1" applyFill="1" applyBorder="1" applyAlignment="1" applyProtection="1">
      <alignment horizontal="center"/>
      <protection/>
    </xf>
    <xf numFmtId="0" fontId="16" fillId="36" borderId="25" xfId="0" applyFont="1" applyFill="1" applyBorder="1" applyAlignment="1" applyProtection="1">
      <alignment horizontal="center"/>
      <protection/>
    </xf>
    <xf numFmtId="0" fontId="16" fillId="36" borderId="26" xfId="0" applyFont="1" applyFill="1" applyBorder="1" applyAlignment="1" applyProtection="1">
      <alignment horizontal="center"/>
      <protection/>
    </xf>
    <xf numFmtId="1" fontId="16" fillId="36" borderId="27" xfId="0" applyNumberFormat="1" applyFont="1" applyFill="1" applyBorder="1" applyAlignment="1" applyProtection="1">
      <alignment horizontal="center"/>
      <protection/>
    </xf>
    <xf numFmtId="0" fontId="16" fillId="34" borderId="0" xfId="0" applyFont="1" applyFill="1" applyBorder="1" applyAlignment="1" applyProtection="1">
      <alignment/>
      <protection/>
    </xf>
    <xf numFmtId="16" fontId="16" fillId="34" borderId="0" xfId="0" applyNumberFormat="1" applyFont="1" applyFill="1" applyBorder="1" applyAlignment="1" applyProtection="1">
      <alignment/>
      <protection/>
    </xf>
    <xf numFmtId="16" fontId="16" fillId="34" borderId="0" xfId="0" applyNumberFormat="1" applyFont="1" applyFill="1" applyBorder="1" applyAlignment="1" applyProtection="1">
      <alignment horizontal="center"/>
      <protection/>
    </xf>
    <xf numFmtId="0" fontId="16" fillId="34" borderId="10" xfId="0" applyFont="1" applyFill="1" applyBorder="1" applyAlignment="1" applyProtection="1">
      <alignment horizontal="center"/>
      <protection/>
    </xf>
    <xf numFmtId="0" fontId="16" fillId="34" borderId="12" xfId="0" applyFont="1" applyFill="1" applyBorder="1" applyAlignment="1" applyProtection="1">
      <alignment horizontal="center"/>
      <protection/>
    </xf>
    <xf numFmtId="0" fontId="0" fillId="34" borderId="0" xfId="0" applyFont="1" applyFill="1" applyAlignment="1" applyProtection="1">
      <alignment horizontal="center"/>
      <protection/>
    </xf>
    <xf numFmtId="2" fontId="0" fillId="34" borderId="0" xfId="0" applyNumberFormat="1" applyFont="1" applyFill="1" applyAlignment="1" applyProtection="1">
      <alignment horizontal="center"/>
      <protection/>
    </xf>
    <xf numFmtId="2" fontId="0" fillId="34" borderId="0" xfId="0" applyNumberFormat="1" applyFont="1" applyFill="1" applyAlignment="1" applyProtection="1">
      <alignment/>
      <protection/>
    </xf>
    <xf numFmtId="1" fontId="0" fillId="34" borderId="0" xfId="0" applyNumberFormat="1" applyFont="1" applyFill="1" applyAlignment="1" applyProtection="1">
      <alignment horizontal="center"/>
      <protection/>
    </xf>
    <xf numFmtId="2" fontId="0" fillId="36" borderId="0" xfId="0" applyNumberFormat="1" applyFont="1" applyFill="1" applyAlignment="1" applyProtection="1">
      <alignment horizontal="center"/>
      <protection/>
    </xf>
    <xf numFmtId="2" fontId="0" fillId="36" borderId="0" xfId="0" applyNumberFormat="1" applyFont="1" applyFill="1" applyBorder="1" applyAlignment="1" applyProtection="1">
      <alignment horizontal="center"/>
      <protection/>
    </xf>
    <xf numFmtId="2" fontId="0" fillId="36" borderId="19" xfId="0" applyNumberFormat="1" applyFont="1" applyFill="1" applyBorder="1" applyAlignment="1" applyProtection="1">
      <alignment horizontal="center"/>
      <protection/>
    </xf>
    <xf numFmtId="1" fontId="0" fillId="36" borderId="10" xfId="0" applyNumberFormat="1" applyFont="1" applyFill="1" applyBorder="1" applyAlignment="1" applyProtection="1">
      <alignment horizontal="center"/>
      <protection/>
    </xf>
    <xf numFmtId="1" fontId="0" fillId="36" borderId="11" xfId="0" applyNumberFormat="1" applyFont="1" applyFill="1" applyBorder="1" applyAlignment="1" applyProtection="1">
      <alignment horizontal="center"/>
      <protection/>
    </xf>
    <xf numFmtId="1" fontId="0" fillId="36" borderId="12" xfId="0" applyNumberFormat="1" applyFont="1" applyFill="1" applyBorder="1" applyAlignment="1" applyProtection="1">
      <alignment horizontal="center"/>
      <protection/>
    </xf>
    <xf numFmtId="0" fontId="0" fillId="36" borderId="13" xfId="0" applyFont="1" applyFill="1" applyBorder="1" applyAlignment="1" applyProtection="1">
      <alignment horizontal="center"/>
      <protection/>
    </xf>
    <xf numFmtId="2" fontId="0" fillId="36" borderId="14" xfId="0" applyNumberFormat="1" applyFont="1" applyFill="1" applyBorder="1" applyAlignment="1" applyProtection="1">
      <alignment horizontal="center"/>
      <protection/>
    </xf>
    <xf numFmtId="2" fontId="0" fillId="36" borderId="38" xfId="0" applyNumberFormat="1" applyFont="1" applyFill="1" applyBorder="1" applyAlignment="1" applyProtection="1">
      <alignment horizontal="center"/>
      <protection/>
    </xf>
    <xf numFmtId="2" fontId="0" fillId="36" borderId="39" xfId="0" applyNumberFormat="1" applyFont="1" applyFill="1" applyBorder="1" applyAlignment="1" applyProtection="1">
      <alignment horizontal="center"/>
      <protection/>
    </xf>
    <xf numFmtId="165" fontId="16" fillId="34" borderId="0" xfId="0" applyNumberFormat="1" applyFont="1" applyFill="1" applyBorder="1" applyAlignment="1" applyProtection="1">
      <alignment horizontal="center"/>
      <protection/>
    </xf>
    <xf numFmtId="2" fontId="0" fillId="36" borderId="0" xfId="0" applyNumberFormat="1" applyFont="1" applyFill="1" applyAlignment="1" applyProtection="1">
      <alignment/>
      <protection/>
    </xf>
    <xf numFmtId="0" fontId="24" fillId="36" borderId="15" xfId="0" applyFont="1" applyFill="1" applyBorder="1" applyAlignment="1" applyProtection="1">
      <alignment horizontal="center"/>
      <protection/>
    </xf>
    <xf numFmtId="164" fontId="16" fillId="34" borderId="0" xfId="0" applyNumberFormat="1" applyFont="1" applyFill="1" applyBorder="1" applyAlignment="1" applyProtection="1" quotePrefix="1">
      <alignment horizontal="center"/>
      <protection/>
    </xf>
    <xf numFmtId="0" fontId="7" fillId="34" borderId="0" xfId="0" applyFont="1" applyFill="1" applyBorder="1" applyAlignment="1" applyProtection="1">
      <alignment/>
      <protection/>
    </xf>
    <xf numFmtId="0" fontId="18" fillId="34" borderId="0" xfId="0" applyFont="1" applyFill="1" applyAlignment="1" applyProtection="1">
      <alignment/>
      <protection/>
    </xf>
    <xf numFmtId="1" fontId="0" fillId="34" borderId="0" xfId="0" applyNumberFormat="1" applyFont="1" applyFill="1" applyBorder="1" applyAlignment="1" applyProtection="1">
      <alignment horizontal="center"/>
      <protection/>
    </xf>
    <xf numFmtId="1" fontId="0" fillId="34" borderId="0" xfId="0" applyNumberFormat="1" applyFont="1" applyFill="1" applyBorder="1" applyAlignment="1" applyProtection="1" quotePrefix="1">
      <alignment horizontal="center"/>
      <protection/>
    </xf>
    <xf numFmtId="2" fontId="0" fillId="34" borderId="0" xfId="0" applyNumberFormat="1" applyFont="1" applyFill="1" applyBorder="1" applyAlignment="1" applyProtection="1" quotePrefix="1">
      <alignment horizontal="center"/>
      <protection/>
    </xf>
    <xf numFmtId="166" fontId="0" fillId="34" borderId="0" xfId="0" applyNumberFormat="1" applyFont="1" applyFill="1" applyBorder="1" applyAlignment="1" applyProtection="1" quotePrefix="1">
      <alignment horizontal="center"/>
      <protection/>
    </xf>
    <xf numFmtId="1" fontId="0" fillId="34" borderId="0" xfId="0" applyNumberFormat="1" applyFont="1" applyFill="1" applyBorder="1" applyAlignment="1" applyProtection="1">
      <alignment/>
      <protection/>
    </xf>
    <xf numFmtId="164" fontId="11" fillId="34" borderId="0" xfId="0" applyNumberFormat="1" applyFont="1" applyFill="1" applyBorder="1" applyAlignment="1" applyProtection="1">
      <alignment horizontal="center"/>
      <protection/>
    </xf>
    <xf numFmtId="0" fontId="12" fillId="34" borderId="18" xfId="0" applyFont="1" applyFill="1" applyBorder="1" applyAlignment="1" applyProtection="1">
      <alignment horizontal="center"/>
      <protection/>
    </xf>
    <xf numFmtId="0" fontId="16" fillId="36" borderId="0" xfId="0" applyFont="1" applyFill="1" applyBorder="1" applyAlignment="1" applyProtection="1">
      <alignment horizontal="center"/>
      <protection/>
    </xf>
    <xf numFmtId="2" fontId="11" fillId="36" borderId="0" xfId="0" applyNumberFormat="1" applyFont="1" applyFill="1" applyBorder="1" applyAlignment="1" applyProtection="1">
      <alignment horizontal="center"/>
      <protection/>
    </xf>
    <xf numFmtId="2" fontId="16" fillId="36" borderId="0" xfId="0" applyNumberFormat="1" applyFont="1" applyFill="1" applyBorder="1" applyAlignment="1" applyProtection="1">
      <alignment horizontal="center"/>
      <protection/>
    </xf>
    <xf numFmtId="164" fontId="16" fillId="36" borderId="0" xfId="0" applyNumberFormat="1" applyFont="1" applyFill="1" applyBorder="1" applyAlignment="1" applyProtection="1">
      <alignment horizontal="center"/>
      <protection/>
    </xf>
    <xf numFmtId="0" fontId="16" fillId="36" borderId="10" xfId="0" applyFont="1" applyFill="1" applyBorder="1" applyAlignment="1" applyProtection="1">
      <alignment horizontal="center"/>
      <protection/>
    </xf>
    <xf numFmtId="0" fontId="16" fillId="36" borderId="11" xfId="0" applyFont="1" applyFill="1" applyBorder="1" applyAlignment="1" applyProtection="1">
      <alignment horizontal="center"/>
      <protection/>
    </xf>
    <xf numFmtId="0" fontId="16" fillId="36" borderId="12" xfId="0" applyFont="1" applyFill="1" applyBorder="1" applyAlignment="1" applyProtection="1">
      <alignment horizontal="center"/>
      <protection/>
    </xf>
    <xf numFmtId="0" fontId="16" fillId="36" borderId="13" xfId="0" applyFont="1" applyFill="1" applyBorder="1" applyAlignment="1" applyProtection="1">
      <alignment horizontal="center"/>
      <protection/>
    </xf>
    <xf numFmtId="0" fontId="16" fillId="36" borderId="14" xfId="0" applyFont="1" applyFill="1" applyBorder="1" applyAlignment="1" applyProtection="1">
      <alignment horizontal="center"/>
      <protection/>
    </xf>
    <xf numFmtId="2" fontId="16" fillId="36" borderId="14" xfId="0" applyNumberFormat="1" applyFont="1" applyFill="1" applyBorder="1" applyAlignment="1" applyProtection="1">
      <alignment horizontal="center"/>
      <protection/>
    </xf>
    <xf numFmtId="0" fontId="16" fillId="36" borderId="40" xfId="0" applyFont="1" applyFill="1" applyBorder="1" applyAlignment="1" applyProtection="1">
      <alignment horizontal="center"/>
      <protection/>
    </xf>
    <xf numFmtId="0" fontId="0" fillId="36" borderId="15" xfId="0" applyFont="1" applyFill="1" applyBorder="1" applyAlignment="1" applyProtection="1">
      <alignment/>
      <protection/>
    </xf>
    <xf numFmtId="0" fontId="24" fillId="36" borderId="21" xfId="0" applyFont="1" applyFill="1" applyBorder="1" applyAlignment="1" applyProtection="1">
      <alignment horizontal="center"/>
      <protection/>
    </xf>
    <xf numFmtId="0" fontId="24" fillId="36" borderId="22" xfId="0" applyFont="1" applyFill="1" applyBorder="1" applyAlignment="1" applyProtection="1">
      <alignment horizontal="center"/>
      <protection/>
    </xf>
    <xf numFmtId="0" fontId="24" fillId="36" borderId="24" xfId="0" applyFont="1" applyFill="1" applyBorder="1" applyAlignment="1" applyProtection="1">
      <alignment horizontal="center"/>
      <protection/>
    </xf>
    <xf numFmtId="164" fontId="16" fillId="36" borderId="23" xfId="0" applyNumberFormat="1" applyFont="1" applyFill="1" applyBorder="1" applyAlignment="1" applyProtection="1">
      <alignment horizontal="center"/>
      <protection/>
    </xf>
    <xf numFmtId="0" fontId="16" fillId="36" borderId="23" xfId="0" applyNumberFormat="1" applyFont="1" applyFill="1" applyBorder="1" applyAlignment="1" applyProtection="1">
      <alignment horizontal="center"/>
      <protection/>
    </xf>
    <xf numFmtId="0" fontId="0" fillId="36" borderId="23" xfId="0" applyFont="1" applyFill="1" applyBorder="1" applyAlignment="1" applyProtection="1">
      <alignment/>
      <protection/>
    </xf>
    <xf numFmtId="0" fontId="0" fillId="36" borderId="24" xfId="0" applyFont="1" applyFill="1" applyBorder="1" applyAlignment="1" applyProtection="1">
      <alignment/>
      <protection/>
    </xf>
    <xf numFmtId="0" fontId="0" fillId="36" borderId="25" xfId="0" applyFont="1" applyFill="1" applyBorder="1" applyAlignment="1" applyProtection="1">
      <alignment/>
      <protection/>
    </xf>
    <xf numFmtId="0" fontId="0" fillId="36" borderId="26" xfId="0" applyFont="1" applyFill="1" applyBorder="1" applyAlignment="1" applyProtection="1">
      <alignment/>
      <protection/>
    </xf>
    <xf numFmtId="0" fontId="0" fillId="36" borderId="27" xfId="0" applyFont="1" applyFill="1" applyBorder="1" applyAlignment="1" applyProtection="1">
      <alignment/>
      <protection/>
    </xf>
    <xf numFmtId="0" fontId="0" fillId="33" borderId="0" xfId="0" applyFont="1" applyFill="1" applyBorder="1" applyAlignment="1" applyProtection="1">
      <alignment/>
      <protection locked="0"/>
    </xf>
    <xf numFmtId="0" fontId="11" fillId="34" borderId="0" xfId="0" applyFont="1" applyFill="1" applyBorder="1" applyAlignment="1" applyProtection="1">
      <alignment horizontal="center"/>
      <protection locked="0"/>
    </xf>
    <xf numFmtId="14" fontId="13" fillId="34" borderId="0" xfId="0" applyNumberFormat="1" applyFont="1" applyFill="1" applyBorder="1" applyAlignment="1" applyProtection="1">
      <alignment horizontal="center"/>
      <protection locked="0"/>
    </xf>
    <xf numFmtId="0" fontId="12" fillId="34" borderId="0" xfId="0" applyFont="1" applyFill="1" applyBorder="1" applyAlignment="1" applyProtection="1">
      <alignment horizontal="center"/>
      <protection locked="0"/>
    </xf>
    <xf numFmtId="0" fontId="11" fillId="34" borderId="0" xfId="0" applyFont="1" applyFill="1" applyBorder="1" applyAlignment="1" applyProtection="1">
      <alignment/>
      <protection hidden="1"/>
    </xf>
    <xf numFmtId="1" fontId="0" fillId="34" borderId="41" xfId="0" applyNumberFormat="1" applyFont="1" applyFill="1" applyBorder="1" applyAlignment="1" applyProtection="1">
      <alignment horizontal="center"/>
      <protection/>
    </xf>
    <xf numFmtId="2" fontId="16" fillId="36" borderId="11" xfId="0" applyNumberFormat="1" applyFont="1" applyFill="1" applyBorder="1" applyAlignment="1" applyProtection="1">
      <alignment horizontal="center"/>
      <protection/>
    </xf>
    <xf numFmtId="165" fontId="16" fillId="36" borderId="42" xfId="0" applyNumberFormat="1" applyFont="1" applyFill="1" applyBorder="1" applyAlignment="1" applyProtection="1">
      <alignment horizontal="center"/>
      <protection/>
    </xf>
    <xf numFmtId="8" fontId="16" fillId="36" borderId="43" xfId="0" applyNumberFormat="1" applyFont="1" applyFill="1" applyBorder="1" applyAlignment="1" applyProtection="1">
      <alignment horizontal="center"/>
      <protection/>
    </xf>
    <xf numFmtId="164" fontId="16" fillId="36" borderId="11" xfId="59" applyNumberFormat="1" applyFont="1" applyFill="1" applyBorder="1" applyAlignment="1" applyProtection="1">
      <alignment horizontal="center"/>
      <protection/>
    </xf>
    <xf numFmtId="164" fontId="16" fillId="36" borderId="11" xfId="0" applyNumberFormat="1" applyFont="1" applyFill="1" applyBorder="1" applyAlignment="1" applyProtection="1">
      <alignment horizontal="center"/>
      <protection/>
    </xf>
    <xf numFmtId="165" fontId="16" fillId="36" borderId="34" xfId="0" applyNumberFormat="1" applyFont="1" applyFill="1" applyBorder="1" applyAlignment="1" applyProtection="1">
      <alignment horizontal="center"/>
      <protection/>
    </xf>
    <xf numFmtId="8" fontId="16" fillId="36" borderId="44" xfId="0" applyNumberFormat="1" applyFont="1" applyFill="1" applyBorder="1" applyAlignment="1" applyProtection="1">
      <alignment horizontal="center"/>
      <protection/>
    </xf>
    <xf numFmtId="164" fontId="16" fillId="36" borderId="0" xfId="59" applyNumberFormat="1" applyFont="1" applyFill="1" applyBorder="1" applyAlignment="1" applyProtection="1">
      <alignment horizontal="center"/>
      <protection/>
    </xf>
    <xf numFmtId="0" fontId="16" fillId="36" borderId="18" xfId="0" applyFont="1" applyFill="1" applyBorder="1" applyAlignment="1" applyProtection="1">
      <alignment horizontal="center"/>
      <protection/>
    </xf>
    <xf numFmtId="2" fontId="16" fillId="36" borderId="40" xfId="0" applyNumberFormat="1" applyFont="1" applyFill="1" applyBorder="1" applyAlignment="1" applyProtection="1">
      <alignment horizontal="center"/>
      <protection/>
    </xf>
    <xf numFmtId="165" fontId="16" fillId="36" borderId="45" xfId="0" applyNumberFormat="1" applyFont="1" applyFill="1" applyBorder="1" applyAlignment="1" applyProtection="1">
      <alignment horizontal="center"/>
      <protection/>
    </xf>
    <xf numFmtId="8" fontId="16" fillId="36" borderId="46" xfId="0" applyNumberFormat="1" applyFont="1" applyFill="1" applyBorder="1" applyAlignment="1" applyProtection="1">
      <alignment horizontal="center"/>
      <protection/>
    </xf>
    <xf numFmtId="164" fontId="16" fillId="36" borderId="40" xfId="59" applyNumberFormat="1" applyFont="1" applyFill="1" applyBorder="1" applyAlignment="1" applyProtection="1">
      <alignment horizontal="center"/>
      <protection/>
    </xf>
    <xf numFmtId="164" fontId="16" fillId="36" borderId="40" xfId="0" applyNumberFormat="1" applyFont="1" applyFill="1" applyBorder="1" applyAlignment="1" applyProtection="1">
      <alignment horizontal="center"/>
      <protection/>
    </xf>
    <xf numFmtId="0" fontId="16" fillId="36" borderId="37" xfId="0" applyFont="1" applyFill="1" applyBorder="1" applyAlignment="1" applyProtection="1">
      <alignment horizontal="center"/>
      <protection/>
    </xf>
    <xf numFmtId="1" fontId="16" fillId="36" borderId="13" xfId="0" applyNumberFormat="1" applyFont="1" applyFill="1" applyBorder="1" applyAlignment="1" applyProtection="1">
      <alignment horizontal="center"/>
      <protection/>
    </xf>
    <xf numFmtId="166" fontId="17" fillId="34" borderId="37" xfId="0" applyNumberFormat="1" applyFont="1" applyFill="1" applyBorder="1" applyAlignment="1" applyProtection="1">
      <alignment horizontal="center"/>
      <protection/>
    </xf>
    <xf numFmtId="0" fontId="15" fillId="34" borderId="0" xfId="0" applyFont="1" applyFill="1" applyBorder="1" applyAlignment="1" applyProtection="1">
      <alignment horizontal="center"/>
      <protection/>
    </xf>
    <xf numFmtId="0" fontId="16" fillId="33" borderId="0" xfId="0" applyFont="1" applyFill="1" applyAlignment="1" applyProtection="1">
      <alignment/>
      <protection/>
    </xf>
    <xf numFmtId="0" fontId="16" fillId="33" borderId="0" xfId="0" applyFont="1" applyFill="1" applyAlignment="1" applyProtection="1">
      <alignment horizontal="center"/>
      <protection/>
    </xf>
    <xf numFmtId="166" fontId="16" fillId="33" borderId="0" xfId="0" applyNumberFormat="1" applyFont="1" applyFill="1" applyBorder="1" applyAlignment="1" applyProtection="1" quotePrefix="1">
      <alignment horizontal="center"/>
      <protection/>
    </xf>
    <xf numFmtId="0" fontId="16" fillId="33" borderId="0" xfId="0" applyFont="1" applyFill="1" applyBorder="1" applyAlignment="1" applyProtection="1">
      <alignment/>
      <protection/>
    </xf>
    <xf numFmtId="0" fontId="16" fillId="34" borderId="17" xfId="0" applyFont="1" applyFill="1" applyBorder="1" applyAlignment="1" applyProtection="1">
      <alignment horizontal="left"/>
      <protection/>
    </xf>
    <xf numFmtId="0" fontId="16" fillId="34" borderId="17" xfId="0" applyFont="1" applyFill="1" applyBorder="1" applyAlignment="1" applyProtection="1">
      <alignment horizontal="center"/>
      <protection/>
    </xf>
    <xf numFmtId="0" fontId="17" fillId="34" borderId="18" xfId="0" applyFont="1" applyFill="1" applyBorder="1" applyAlignment="1" applyProtection="1">
      <alignment horizontal="center"/>
      <protection/>
    </xf>
    <xf numFmtId="166" fontId="17" fillId="33" borderId="0" xfId="0" applyNumberFormat="1" applyFont="1" applyFill="1" applyBorder="1" applyAlignment="1" applyProtection="1">
      <alignment horizontal="center"/>
      <protection/>
    </xf>
    <xf numFmtId="0" fontId="8" fillId="33" borderId="0" xfId="0" applyFont="1" applyFill="1" applyBorder="1" applyAlignment="1" applyProtection="1">
      <alignment horizontal="center"/>
      <protection/>
    </xf>
    <xf numFmtId="0" fontId="11" fillId="33" borderId="0" xfId="0" applyFont="1" applyFill="1" applyBorder="1" applyAlignment="1" applyProtection="1">
      <alignment/>
      <protection locked="0"/>
    </xf>
    <xf numFmtId="2" fontId="0" fillId="35" borderId="0" xfId="0" applyNumberFormat="1" applyFont="1" applyFill="1" applyBorder="1" applyAlignment="1" applyProtection="1">
      <alignment horizontal="center"/>
      <protection locked="0"/>
    </xf>
    <xf numFmtId="164" fontId="0" fillId="34" borderId="0" xfId="0" applyNumberFormat="1" applyFont="1" applyFill="1" applyBorder="1" applyAlignment="1" applyProtection="1">
      <alignment horizontal="center"/>
      <protection hidden="1"/>
    </xf>
    <xf numFmtId="165" fontId="0" fillId="34" borderId="0" xfId="0" applyNumberFormat="1" applyFont="1" applyFill="1" applyBorder="1" applyAlignment="1" applyProtection="1">
      <alignment horizontal="center"/>
      <protection hidden="1"/>
    </xf>
    <xf numFmtId="164" fontId="0" fillId="34" borderId="16" xfId="0" applyNumberFormat="1" applyFont="1" applyFill="1" applyBorder="1" applyAlignment="1" applyProtection="1">
      <alignment horizontal="center"/>
      <protection hidden="1"/>
    </xf>
    <xf numFmtId="165" fontId="0" fillId="34" borderId="16" xfId="0" applyNumberFormat="1" applyFont="1" applyFill="1" applyBorder="1" applyAlignment="1" applyProtection="1">
      <alignment horizontal="center"/>
      <protection hidden="1"/>
    </xf>
    <xf numFmtId="0" fontId="0" fillId="34" borderId="16" xfId="0" applyFont="1" applyFill="1" applyBorder="1" applyAlignment="1" applyProtection="1">
      <alignment/>
      <protection hidden="1"/>
    </xf>
    <xf numFmtId="0" fontId="0" fillId="34" borderId="16" xfId="0" applyFont="1" applyFill="1" applyBorder="1" applyAlignment="1" applyProtection="1">
      <alignment horizontal="center"/>
      <protection/>
    </xf>
    <xf numFmtId="165" fontId="0" fillId="34" borderId="16" xfId="0" applyNumberFormat="1" applyFont="1" applyFill="1" applyBorder="1" applyAlignment="1" applyProtection="1">
      <alignment horizontal="center"/>
      <protection/>
    </xf>
    <xf numFmtId="0" fontId="0" fillId="34" borderId="16" xfId="0" applyFont="1" applyFill="1" applyBorder="1" applyAlignment="1" applyProtection="1">
      <alignment/>
      <protection/>
    </xf>
    <xf numFmtId="2" fontId="0" fillId="34" borderId="16" xfId="0" applyNumberFormat="1" applyFont="1" applyFill="1" applyBorder="1" applyAlignment="1" applyProtection="1">
      <alignment horizontal="center"/>
      <protection/>
    </xf>
    <xf numFmtId="164" fontId="0" fillId="34" borderId="16" xfId="0" applyNumberFormat="1" applyFont="1" applyFill="1" applyBorder="1" applyAlignment="1" applyProtection="1">
      <alignment horizontal="center"/>
      <protection/>
    </xf>
    <xf numFmtId="9" fontId="0" fillId="34" borderId="16" xfId="59" applyFont="1" applyFill="1" applyBorder="1" applyAlignment="1" applyProtection="1">
      <alignment horizontal="center"/>
      <protection/>
    </xf>
    <xf numFmtId="0" fontId="5" fillId="34" borderId="11" xfId="0" applyFont="1" applyFill="1" applyBorder="1" applyAlignment="1" applyProtection="1">
      <alignment/>
      <protection/>
    </xf>
    <xf numFmtId="0" fontId="11" fillId="34" borderId="47" xfId="0" applyFont="1" applyFill="1" applyBorder="1" applyAlignment="1" applyProtection="1">
      <alignment horizontal="center"/>
      <protection/>
    </xf>
    <xf numFmtId="0" fontId="0" fillId="34" borderId="13" xfId="0" applyFont="1" applyFill="1" applyBorder="1" applyAlignment="1" applyProtection="1">
      <alignment horizontal="center"/>
      <protection locked="0"/>
    </xf>
    <xf numFmtId="0" fontId="16" fillId="34" borderId="13" xfId="0" applyFont="1" applyFill="1" applyBorder="1" applyAlignment="1" applyProtection="1">
      <alignment horizontal="center"/>
      <protection/>
    </xf>
    <xf numFmtId="0" fontId="0" fillId="34" borderId="47" xfId="0" applyFont="1" applyFill="1" applyBorder="1" applyAlignment="1" applyProtection="1">
      <alignment horizontal="center"/>
      <protection/>
    </xf>
    <xf numFmtId="167" fontId="16" fillId="34" borderId="13" xfId="0" applyNumberFormat="1" applyFont="1" applyFill="1" applyBorder="1" applyAlignment="1" applyProtection="1">
      <alignment horizontal="center"/>
      <protection/>
    </xf>
    <xf numFmtId="0" fontId="0" fillId="34" borderId="47" xfId="0" applyFont="1" applyFill="1" applyBorder="1" applyAlignment="1" applyProtection="1">
      <alignment/>
      <protection/>
    </xf>
    <xf numFmtId="0" fontId="16" fillId="34" borderId="13" xfId="0" applyFont="1" applyFill="1" applyBorder="1" applyAlignment="1" applyProtection="1">
      <alignment/>
      <protection/>
    </xf>
    <xf numFmtId="0" fontId="16" fillId="34" borderId="18" xfId="0" applyFont="1" applyFill="1" applyBorder="1" applyAlignment="1" applyProtection="1">
      <alignment/>
      <protection/>
    </xf>
    <xf numFmtId="0" fontId="16" fillId="34" borderId="40" xfId="0" applyFont="1" applyFill="1" applyBorder="1" applyAlignment="1" applyProtection="1">
      <alignment/>
      <protection/>
    </xf>
    <xf numFmtId="165" fontId="14" fillId="34" borderId="0" xfId="0" applyNumberFormat="1" applyFont="1" applyFill="1" applyBorder="1" applyAlignment="1" applyProtection="1">
      <alignment/>
      <protection/>
    </xf>
    <xf numFmtId="0" fontId="16" fillId="34" borderId="14" xfId="0" applyFont="1" applyFill="1" applyBorder="1" applyAlignment="1" applyProtection="1">
      <alignment/>
      <protection/>
    </xf>
    <xf numFmtId="166" fontId="17" fillId="34" borderId="14" xfId="0" applyNumberFormat="1" applyFont="1" applyFill="1" applyBorder="1" applyAlignment="1" applyProtection="1">
      <alignment horizontal="center"/>
      <protection/>
    </xf>
    <xf numFmtId="9" fontId="19" fillId="34" borderId="0" xfId="59" applyFont="1" applyFill="1" applyBorder="1" applyAlignment="1" applyProtection="1">
      <alignment horizontal="center"/>
      <protection/>
    </xf>
    <xf numFmtId="166" fontId="13" fillId="34" borderId="37" xfId="0" applyNumberFormat="1" applyFont="1" applyFill="1" applyBorder="1" applyAlignment="1" applyProtection="1">
      <alignment horizontal="center"/>
      <protection/>
    </xf>
    <xf numFmtId="164" fontId="16" fillId="34" borderId="29" xfId="0" applyNumberFormat="1" applyFont="1" applyFill="1" applyBorder="1" applyAlignment="1" applyProtection="1">
      <alignment horizontal="center"/>
      <protection/>
    </xf>
    <xf numFmtId="0" fontId="16" fillId="34" borderId="35" xfId="0" applyFont="1" applyFill="1" applyBorder="1" applyAlignment="1" applyProtection="1">
      <alignment horizontal="center"/>
      <protection/>
    </xf>
    <xf numFmtId="0" fontId="0" fillId="34" borderId="18" xfId="0" applyFont="1" applyFill="1" applyBorder="1" applyAlignment="1" applyProtection="1">
      <alignment/>
      <protection/>
    </xf>
    <xf numFmtId="0" fontId="16" fillId="34" borderId="40" xfId="0" applyFont="1" applyFill="1" applyBorder="1" applyAlignment="1" applyProtection="1">
      <alignment horizontal="center"/>
      <protection/>
    </xf>
    <xf numFmtId="0" fontId="11" fillId="34" borderId="40" xfId="0" applyFont="1" applyFill="1" applyBorder="1" applyAlignment="1" applyProtection="1">
      <alignment/>
      <protection locked="0"/>
    </xf>
    <xf numFmtId="0" fontId="0" fillId="34" borderId="40" xfId="0" applyFont="1" applyFill="1" applyBorder="1" applyAlignment="1" applyProtection="1">
      <alignment/>
      <protection/>
    </xf>
    <xf numFmtId="1" fontId="11" fillId="34" borderId="48" xfId="0" applyNumberFormat="1" applyFont="1" applyFill="1" applyBorder="1" applyAlignment="1" applyProtection="1">
      <alignment horizontal="center"/>
      <protection/>
    </xf>
    <xf numFmtId="165" fontId="11" fillId="34" borderId="16" xfId="0" applyNumberFormat="1" applyFont="1" applyFill="1" applyBorder="1" applyAlignment="1" applyProtection="1">
      <alignment/>
      <protection/>
    </xf>
    <xf numFmtId="166" fontId="0" fillId="34" borderId="48" xfId="0" applyNumberFormat="1" applyFont="1" applyFill="1" applyBorder="1" applyAlignment="1" applyProtection="1" quotePrefix="1">
      <alignment horizontal="center"/>
      <protection/>
    </xf>
    <xf numFmtId="165" fontId="11" fillId="34" borderId="16" xfId="0" applyNumberFormat="1" applyFont="1" applyFill="1" applyBorder="1" applyAlignment="1" applyProtection="1">
      <alignment horizontal="left"/>
      <protection/>
    </xf>
    <xf numFmtId="0" fontId="2" fillId="34" borderId="0" xfId="0" applyFont="1" applyFill="1" applyBorder="1" applyAlignment="1" applyProtection="1">
      <alignment/>
      <protection/>
    </xf>
    <xf numFmtId="0" fontId="2" fillId="34" borderId="0" xfId="0" applyFont="1" applyFill="1" applyBorder="1" applyAlignment="1" applyProtection="1">
      <alignment horizontal="center"/>
      <protection/>
    </xf>
    <xf numFmtId="15" fontId="29" fillId="0" borderId="0" xfId="0" applyNumberFormat="1" applyFont="1" applyFill="1" applyAlignment="1" quotePrefix="1">
      <alignment/>
    </xf>
    <xf numFmtId="0" fontId="29" fillId="0" borderId="0" xfId="0" applyFont="1" applyFill="1" applyAlignment="1" quotePrefix="1">
      <alignment/>
    </xf>
    <xf numFmtId="14" fontId="17" fillId="35" borderId="0" xfId="0" applyNumberFormat="1" applyFont="1" applyFill="1" applyBorder="1" applyAlignment="1" applyProtection="1">
      <alignment horizontal="center" shrinkToFit="1"/>
      <protection locked="0"/>
    </xf>
    <xf numFmtId="14" fontId="13" fillId="35" borderId="0" xfId="0" applyNumberFormat="1" applyFont="1" applyFill="1" applyBorder="1" applyAlignment="1" applyProtection="1">
      <alignment horizontal="center" shrinkToFit="1"/>
      <protection locked="0"/>
    </xf>
    <xf numFmtId="0" fontId="11" fillId="34" borderId="0" xfId="0" applyFont="1" applyFill="1" applyBorder="1" applyAlignment="1" applyProtection="1">
      <alignment horizontal="right" vertical="center"/>
      <protection hidden="1"/>
    </xf>
    <xf numFmtId="0" fontId="0" fillId="34" borderId="0" xfId="0" applyFont="1" applyFill="1" applyBorder="1" applyAlignment="1" applyProtection="1">
      <alignment horizontal="center" vertical="center"/>
      <protection locked="0"/>
    </xf>
    <xf numFmtId="0" fontId="16" fillId="36" borderId="15" xfId="0" applyFont="1" applyFill="1" applyBorder="1" applyAlignment="1" applyProtection="1">
      <alignment/>
      <protection/>
    </xf>
    <xf numFmtId="0" fontId="11" fillId="36" borderId="40" xfId="0" applyFont="1" applyFill="1" applyBorder="1" applyAlignment="1" applyProtection="1">
      <alignment horizontal="center"/>
      <protection/>
    </xf>
    <xf numFmtId="2" fontId="16" fillId="36" borderId="37" xfId="0" applyNumberFormat="1" applyFont="1" applyFill="1" applyBorder="1" applyAlignment="1" applyProtection="1">
      <alignment horizontal="center"/>
      <protection/>
    </xf>
    <xf numFmtId="164" fontId="16" fillId="36" borderId="20" xfId="0" applyNumberFormat="1" applyFont="1" applyFill="1" applyBorder="1" applyAlignment="1" applyProtection="1">
      <alignment horizontal="center"/>
      <protection/>
    </xf>
    <xf numFmtId="0" fontId="11" fillId="36" borderId="21" xfId="0" applyFont="1" applyFill="1" applyBorder="1" applyAlignment="1" applyProtection="1">
      <alignment horizontal="center"/>
      <protection/>
    </xf>
    <xf numFmtId="0" fontId="11" fillId="36" borderId="22" xfId="0" applyFont="1" applyFill="1" applyBorder="1" applyAlignment="1" applyProtection="1">
      <alignment horizontal="center"/>
      <protection/>
    </xf>
    <xf numFmtId="2" fontId="16" fillId="36" borderId="23" xfId="0" applyNumberFormat="1" applyFont="1" applyFill="1" applyBorder="1" applyAlignment="1" applyProtection="1">
      <alignment horizontal="center"/>
      <protection/>
    </xf>
    <xf numFmtId="0" fontId="16" fillId="36" borderId="23" xfId="0" applyFont="1" applyFill="1" applyBorder="1" applyAlignment="1" applyProtection="1">
      <alignment/>
      <protection/>
    </xf>
    <xf numFmtId="164" fontId="16" fillId="36" borderId="26" xfId="0" applyNumberFormat="1" applyFont="1" applyFill="1" applyBorder="1" applyAlignment="1" applyProtection="1">
      <alignment horizontal="center"/>
      <protection/>
    </xf>
    <xf numFmtId="0" fontId="16" fillId="36" borderId="27" xfId="0" applyFont="1" applyFill="1" applyBorder="1" applyAlignment="1" applyProtection="1">
      <alignment horizontal="center"/>
      <protection/>
    </xf>
    <xf numFmtId="8" fontId="0" fillId="34" borderId="0" xfId="0" applyNumberFormat="1" applyFont="1" applyFill="1" applyBorder="1" applyAlignment="1" applyProtection="1">
      <alignment horizontal="center"/>
      <protection/>
    </xf>
    <xf numFmtId="0" fontId="11" fillId="34" borderId="0" xfId="0" applyFont="1" applyFill="1" applyBorder="1" applyAlignment="1" applyProtection="1">
      <alignment horizontal="center"/>
      <protection hidden="1"/>
    </xf>
    <xf numFmtId="0" fontId="11" fillId="34" borderId="16" xfId="0" applyFont="1" applyFill="1" applyBorder="1" applyAlignment="1" applyProtection="1">
      <alignment horizontal="center"/>
      <protection hidden="1"/>
    </xf>
    <xf numFmtId="0" fontId="16" fillId="34" borderId="0" xfId="0" applyFont="1" applyFill="1" applyBorder="1" applyAlignment="1" applyProtection="1">
      <alignment horizontal="center"/>
      <protection hidden="1"/>
    </xf>
    <xf numFmtId="0" fontId="0" fillId="34" borderId="10" xfId="0" applyFont="1" applyFill="1" applyBorder="1" applyAlignment="1" applyProtection="1">
      <alignment/>
      <protection hidden="1"/>
    </xf>
    <xf numFmtId="0" fontId="1" fillId="34" borderId="11" xfId="0" applyFont="1" applyFill="1" applyBorder="1" applyAlignment="1" applyProtection="1">
      <alignment horizontal="center"/>
      <protection hidden="1"/>
    </xf>
    <xf numFmtId="0" fontId="0" fillId="34" borderId="11" xfId="0" applyFont="1" applyFill="1" applyBorder="1" applyAlignment="1" applyProtection="1">
      <alignment/>
      <protection hidden="1"/>
    </xf>
    <xf numFmtId="0" fontId="5" fillId="34" borderId="11" xfId="0" applyFont="1" applyFill="1" applyBorder="1" applyAlignment="1" applyProtection="1">
      <alignment/>
      <protection hidden="1"/>
    </xf>
    <xf numFmtId="0" fontId="0" fillId="34" borderId="12" xfId="0" applyFont="1" applyFill="1" applyBorder="1" applyAlignment="1" applyProtection="1">
      <alignment/>
      <protection hidden="1"/>
    </xf>
    <xf numFmtId="0" fontId="0" fillId="34" borderId="13" xfId="0" applyFont="1" applyFill="1" applyBorder="1" applyAlignment="1" applyProtection="1">
      <alignment/>
      <protection hidden="1"/>
    </xf>
    <xf numFmtId="0" fontId="0" fillId="34" borderId="0" xfId="0" applyFont="1" applyFill="1" applyBorder="1" applyAlignment="1" applyProtection="1">
      <alignment/>
      <protection hidden="1"/>
    </xf>
    <xf numFmtId="0" fontId="33" fillId="34" borderId="0" xfId="0" applyFont="1" applyFill="1" applyBorder="1" applyAlignment="1" applyProtection="1">
      <alignment horizontal="center"/>
      <protection hidden="1"/>
    </xf>
    <xf numFmtId="0" fontId="0" fillId="34" borderId="14" xfId="0" applyFont="1" applyFill="1" applyBorder="1" applyAlignment="1" applyProtection="1">
      <alignment/>
      <protection hidden="1"/>
    </xf>
    <xf numFmtId="0" fontId="9" fillId="34" borderId="0" xfId="0" applyFont="1" applyFill="1" applyBorder="1" applyAlignment="1" applyProtection="1">
      <alignment horizontal="center"/>
      <protection hidden="1"/>
    </xf>
    <xf numFmtId="0" fontId="0" fillId="34" borderId="0" xfId="0" applyFont="1" applyFill="1" applyBorder="1" applyAlignment="1" applyProtection="1">
      <alignment horizontal="center"/>
      <protection hidden="1"/>
    </xf>
    <xf numFmtId="0" fontId="0" fillId="34" borderId="0" xfId="0" applyFont="1" applyFill="1" applyAlignment="1" applyProtection="1">
      <alignment/>
      <protection hidden="1"/>
    </xf>
    <xf numFmtId="0" fontId="11" fillId="34" borderId="14" xfId="0" applyFont="1" applyFill="1" applyBorder="1" applyAlignment="1" applyProtection="1">
      <alignment/>
      <protection hidden="1"/>
    </xf>
    <xf numFmtId="0" fontId="17" fillId="34" borderId="0" xfId="0" applyFont="1" applyFill="1" applyBorder="1" applyAlignment="1" applyProtection="1">
      <alignment horizontal="center"/>
      <protection hidden="1"/>
    </xf>
    <xf numFmtId="0" fontId="18" fillId="34" borderId="13" xfId="0" applyFont="1" applyFill="1" applyBorder="1" applyAlignment="1" applyProtection="1">
      <alignment/>
      <protection hidden="1"/>
    </xf>
    <xf numFmtId="0" fontId="18" fillId="34" borderId="14" xfId="0" applyFont="1" applyFill="1" applyBorder="1" applyAlignment="1" applyProtection="1">
      <alignment/>
      <protection hidden="1"/>
    </xf>
    <xf numFmtId="0" fontId="0" fillId="34" borderId="14" xfId="0" applyFont="1" applyFill="1" applyBorder="1" applyAlignment="1" applyProtection="1">
      <alignment horizontal="center"/>
      <protection hidden="1"/>
    </xf>
    <xf numFmtId="1" fontId="0" fillId="34" borderId="15" xfId="0" applyNumberFormat="1" applyFont="1" applyFill="1" applyBorder="1" applyAlignment="1" applyProtection="1">
      <alignment horizontal="center"/>
      <protection hidden="1"/>
    </xf>
    <xf numFmtId="2" fontId="0" fillId="34" borderId="0" xfId="0" applyNumberFormat="1" applyFont="1" applyFill="1" applyBorder="1" applyAlignment="1" applyProtection="1">
      <alignment horizontal="center"/>
      <protection hidden="1"/>
    </xf>
    <xf numFmtId="1" fontId="0" fillId="34" borderId="41" xfId="0" applyNumberFormat="1" applyFont="1" applyFill="1" applyBorder="1" applyAlignment="1" applyProtection="1">
      <alignment horizontal="center"/>
      <protection hidden="1"/>
    </xf>
    <xf numFmtId="0" fontId="11" fillId="34" borderId="0" xfId="0" applyFont="1" applyFill="1" applyBorder="1" applyAlignment="1" applyProtection="1">
      <alignment horizontal="left"/>
      <protection hidden="1"/>
    </xf>
    <xf numFmtId="0" fontId="11" fillId="34" borderId="47" xfId="0" applyFont="1" applyFill="1" applyBorder="1" applyAlignment="1" applyProtection="1">
      <alignment horizontal="center"/>
      <protection hidden="1"/>
    </xf>
    <xf numFmtId="0" fontId="11" fillId="34" borderId="16" xfId="0" applyFont="1" applyFill="1" applyBorder="1" applyAlignment="1" applyProtection="1">
      <alignment/>
      <protection hidden="1"/>
    </xf>
    <xf numFmtId="0" fontId="19" fillId="34" borderId="16" xfId="0" applyFont="1" applyFill="1" applyBorder="1" applyAlignment="1" applyProtection="1">
      <alignment horizontal="center"/>
      <protection hidden="1"/>
    </xf>
    <xf numFmtId="164" fontId="0" fillId="34" borderId="0" xfId="59" applyNumberFormat="1" applyFont="1" applyFill="1" applyBorder="1" applyAlignment="1" applyProtection="1">
      <alignment horizontal="center"/>
      <protection hidden="1"/>
    </xf>
    <xf numFmtId="9" fontId="0" fillId="34" borderId="0" xfId="59" applyFont="1" applyFill="1" applyBorder="1" applyAlignment="1" applyProtection="1">
      <alignment horizontal="center"/>
      <protection hidden="1"/>
    </xf>
    <xf numFmtId="0" fontId="0" fillId="34" borderId="13" xfId="0" applyFont="1" applyFill="1" applyBorder="1" applyAlignment="1" applyProtection="1">
      <alignment horizontal="center"/>
      <protection hidden="1"/>
    </xf>
    <xf numFmtId="0" fontId="16" fillId="34" borderId="13" xfId="0" applyFont="1" applyFill="1" applyBorder="1" applyAlignment="1" applyProtection="1">
      <alignment horizontal="center"/>
      <protection hidden="1"/>
    </xf>
    <xf numFmtId="165" fontId="14" fillId="34" borderId="0" xfId="0" applyNumberFormat="1" applyFont="1" applyFill="1" applyBorder="1" applyAlignment="1" applyProtection="1">
      <alignment/>
      <protection hidden="1"/>
    </xf>
    <xf numFmtId="0" fontId="0" fillId="34" borderId="47" xfId="0" applyFont="1" applyFill="1" applyBorder="1" applyAlignment="1" applyProtection="1">
      <alignment horizontal="center"/>
      <protection hidden="1"/>
    </xf>
    <xf numFmtId="0" fontId="0" fillId="34" borderId="16" xfId="0" applyFont="1" applyFill="1" applyBorder="1" applyAlignment="1" applyProtection="1">
      <alignment horizontal="center"/>
      <protection hidden="1"/>
    </xf>
    <xf numFmtId="9" fontId="0" fillId="34" borderId="16" xfId="59" applyFont="1" applyFill="1" applyBorder="1" applyAlignment="1" applyProtection="1">
      <alignment horizontal="center"/>
      <protection hidden="1"/>
    </xf>
    <xf numFmtId="167" fontId="16" fillId="34" borderId="13" xfId="0" applyNumberFormat="1" applyFont="1" applyFill="1" applyBorder="1" applyAlignment="1" applyProtection="1">
      <alignment horizontal="center"/>
      <protection hidden="1"/>
    </xf>
    <xf numFmtId="9" fontId="19" fillId="34" borderId="0" xfId="59" applyFont="1" applyFill="1" applyBorder="1" applyAlignment="1" applyProtection="1">
      <alignment horizontal="center"/>
      <protection hidden="1"/>
    </xf>
    <xf numFmtId="0" fontId="0" fillId="34" borderId="47" xfId="0" applyFont="1" applyFill="1" applyBorder="1" applyAlignment="1" applyProtection="1">
      <alignment/>
      <protection hidden="1"/>
    </xf>
    <xf numFmtId="0" fontId="16" fillId="34" borderId="13" xfId="0" applyFont="1" applyFill="1" applyBorder="1" applyAlignment="1" applyProtection="1">
      <alignment/>
      <protection hidden="1"/>
    </xf>
    <xf numFmtId="164" fontId="16" fillId="34" borderId="0" xfId="0" applyNumberFormat="1" applyFont="1" applyFill="1" applyBorder="1" applyAlignment="1" applyProtection="1">
      <alignment horizontal="center"/>
      <protection hidden="1"/>
    </xf>
    <xf numFmtId="0" fontId="16" fillId="34" borderId="0" xfId="0" applyFont="1" applyFill="1" applyBorder="1" applyAlignment="1" applyProtection="1">
      <alignment/>
      <protection hidden="1"/>
    </xf>
    <xf numFmtId="0" fontId="16" fillId="34" borderId="17" xfId="0" applyFont="1" applyFill="1" applyBorder="1" applyAlignment="1" applyProtection="1">
      <alignment horizontal="left"/>
      <protection hidden="1"/>
    </xf>
    <xf numFmtId="0" fontId="16" fillId="34" borderId="17" xfId="0" applyFont="1" applyFill="1" applyBorder="1" applyAlignment="1" applyProtection="1">
      <alignment horizontal="center"/>
      <protection hidden="1"/>
    </xf>
    <xf numFmtId="0" fontId="17" fillId="34" borderId="18" xfId="0" applyFont="1" applyFill="1" applyBorder="1" applyAlignment="1" applyProtection="1">
      <alignment horizontal="center"/>
      <protection hidden="1"/>
    </xf>
    <xf numFmtId="0" fontId="16" fillId="34" borderId="14" xfId="0" applyFont="1" applyFill="1" applyBorder="1" applyAlignment="1" applyProtection="1">
      <alignment/>
      <protection hidden="1"/>
    </xf>
    <xf numFmtId="166" fontId="17" fillId="34" borderId="14" xfId="0" applyNumberFormat="1" applyFont="1" applyFill="1" applyBorder="1" applyAlignment="1" applyProtection="1">
      <alignment horizontal="center"/>
      <protection hidden="1"/>
    </xf>
    <xf numFmtId="0" fontId="13" fillId="34" borderId="0" xfId="0" applyFont="1" applyFill="1" applyBorder="1" applyAlignment="1" applyProtection="1">
      <alignment horizontal="center"/>
      <protection hidden="1"/>
    </xf>
    <xf numFmtId="0" fontId="13" fillId="34" borderId="0" xfId="0" applyFont="1" applyFill="1" applyBorder="1" applyAlignment="1" applyProtection="1">
      <alignment horizontal="center"/>
      <protection locked="0"/>
    </xf>
    <xf numFmtId="0" fontId="7" fillId="34" borderId="13" xfId="0" applyFont="1" applyFill="1" applyBorder="1" applyAlignment="1" applyProtection="1">
      <alignment/>
      <protection hidden="1"/>
    </xf>
    <xf numFmtId="0" fontId="7" fillId="34" borderId="0" xfId="0" applyFont="1" applyFill="1" applyBorder="1" applyAlignment="1" applyProtection="1">
      <alignment/>
      <protection hidden="1"/>
    </xf>
    <xf numFmtId="0" fontId="7" fillId="33" borderId="0" xfId="0" applyFont="1" applyFill="1" applyAlignment="1" applyProtection="1">
      <alignment/>
      <protection/>
    </xf>
    <xf numFmtId="0" fontId="7" fillId="33" borderId="0" xfId="0" applyFont="1" applyFill="1" applyAlignment="1" applyProtection="1">
      <alignment horizontal="center"/>
      <protection/>
    </xf>
    <xf numFmtId="166" fontId="9" fillId="33" borderId="0" xfId="0" applyNumberFormat="1" applyFont="1" applyFill="1" applyBorder="1" applyAlignment="1" applyProtection="1">
      <alignment horizontal="center"/>
      <protection/>
    </xf>
    <xf numFmtId="167" fontId="16" fillId="34" borderId="0" xfId="0" applyNumberFormat="1" applyFont="1" applyFill="1" applyBorder="1" applyAlignment="1" applyProtection="1">
      <alignment horizontal="center"/>
      <protection hidden="1"/>
    </xf>
    <xf numFmtId="0" fontId="31" fillId="34" borderId="14" xfId="0" applyFont="1" applyFill="1" applyBorder="1" applyAlignment="1" applyProtection="1">
      <alignment horizontal="center"/>
      <protection hidden="1"/>
    </xf>
    <xf numFmtId="14" fontId="21" fillId="34" borderId="14" xfId="0" applyNumberFormat="1" applyFont="1" applyFill="1" applyBorder="1" applyAlignment="1" applyProtection="1">
      <alignment horizontal="center"/>
      <protection locked="0"/>
    </xf>
    <xf numFmtId="0" fontId="35" fillId="34" borderId="14" xfId="0" applyFont="1" applyFill="1" applyBorder="1" applyAlignment="1" applyProtection="1">
      <alignment horizontal="center"/>
      <protection hidden="1"/>
    </xf>
    <xf numFmtId="0" fontId="7" fillId="34" borderId="14" xfId="0" applyFont="1" applyFill="1" applyBorder="1" applyAlignment="1" applyProtection="1">
      <alignment horizontal="center"/>
      <protection locked="0"/>
    </xf>
    <xf numFmtId="0" fontId="0" fillId="34" borderId="48" xfId="0" applyFont="1" applyFill="1" applyBorder="1" applyAlignment="1" applyProtection="1">
      <alignment/>
      <protection hidden="1"/>
    </xf>
    <xf numFmtId="0" fontId="12" fillId="34" borderId="18" xfId="0" applyFont="1" applyFill="1" applyBorder="1" applyAlignment="1" applyProtection="1">
      <alignment horizontal="center"/>
      <protection hidden="1"/>
    </xf>
    <xf numFmtId="0" fontId="18" fillId="33" borderId="0" xfId="0" applyFont="1" applyFill="1" applyBorder="1" applyAlignment="1" applyProtection="1">
      <alignment/>
      <protection/>
    </xf>
    <xf numFmtId="0" fontId="35" fillId="33" borderId="0" xfId="0" applyFont="1" applyFill="1" applyBorder="1" applyAlignment="1" applyProtection="1">
      <alignment horizontal="center"/>
      <protection hidden="1"/>
    </xf>
    <xf numFmtId="166" fontId="9" fillId="33" borderId="0" xfId="0" applyNumberFormat="1" applyFont="1" applyFill="1" applyBorder="1" applyAlignment="1" applyProtection="1">
      <alignment horizontal="center"/>
      <protection hidden="1"/>
    </xf>
    <xf numFmtId="166" fontId="17" fillId="33" borderId="0" xfId="0" applyNumberFormat="1" applyFont="1" applyFill="1" applyBorder="1" applyAlignment="1" applyProtection="1">
      <alignment horizontal="center"/>
      <protection hidden="1"/>
    </xf>
    <xf numFmtId="0" fontId="21" fillId="34" borderId="0" xfId="0" applyFont="1" applyFill="1" applyBorder="1" applyAlignment="1" applyProtection="1">
      <alignment horizontal="center"/>
      <protection hidden="1"/>
    </xf>
    <xf numFmtId="0" fontId="38" fillId="33" borderId="0" xfId="0" applyFont="1" applyFill="1" applyBorder="1" applyAlignment="1" applyProtection="1">
      <alignment horizontal="center"/>
      <protection hidden="1"/>
    </xf>
    <xf numFmtId="14" fontId="35" fillId="34" borderId="11" xfId="0" applyNumberFormat="1" applyFont="1" applyFill="1" applyBorder="1" applyAlignment="1" applyProtection="1">
      <alignment horizontal="center"/>
      <protection hidden="1"/>
    </xf>
    <xf numFmtId="0" fontId="39" fillId="34" borderId="0" xfId="0" applyFont="1" applyFill="1" applyBorder="1" applyAlignment="1" applyProtection="1">
      <alignment horizontal="center"/>
      <protection hidden="1"/>
    </xf>
    <xf numFmtId="0" fontId="39" fillId="33" borderId="0" xfId="0" applyFont="1" applyFill="1" applyBorder="1" applyAlignment="1" applyProtection="1">
      <alignment horizontal="center"/>
      <protection hidden="1"/>
    </xf>
    <xf numFmtId="165" fontId="39" fillId="34" borderId="0" xfId="0" applyNumberFormat="1" applyFont="1" applyFill="1" applyBorder="1" applyAlignment="1" applyProtection="1">
      <alignment/>
      <protection hidden="1"/>
    </xf>
    <xf numFmtId="166" fontId="39" fillId="33" borderId="0" xfId="0" applyNumberFormat="1" applyFont="1" applyFill="1" applyBorder="1" applyAlignment="1" applyProtection="1">
      <alignment horizontal="center"/>
      <protection hidden="1"/>
    </xf>
    <xf numFmtId="165" fontId="39" fillId="33" borderId="0" xfId="0" applyNumberFormat="1" applyFont="1" applyFill="1" applyBorder="1" applyAlignment="1" applyProtection="1">
      <alignment/>
      <protection hidden="1"/>
    </xf>
    <xf numFmtId="0" fontId="39" fillId="34" borderId="13" xfId="0" applyFont="1" applyFill="1" applyBorder="1" applyAlignment="1" applyProtection="1">
      <alignment horizontal="center"/>
      <protection hidden="1"/>
    </xf>
    <xf numFmtId="0" fontId="38" fillId="34" borderId="14" xfId="0" applyFont="1" applyFill="1" applyBorder="1" applyAlignment="1" applyProtection="1">
      <alignment horizontal="center"/>
      <protection hidden="1"/>
    </xf>
    <xf numFmtId="0" fontId="39" fillId="34" borderId="0" xfId="0" applyFont="1" applyFill="1" applyBorder="1" applyAlignment="1" applyProtection="1">
      <alignment horizontal="left"/>
      <protection hidden="1"/>
    </xf>
    <xf numFmtId="0" fontId="21" fillId="34" borderId="13" xfId="0" applyFont="1" applyFill="1" applyBorder="1" applyAlignment="1" applyProtection="1">
      <alignment horizontal="center"/>
      <protection hidden="1"/>
    </xf>
    <xf numFmtId="0" fontId="21" fillId="34" borderId="0" xfId="0" applyFont="1" applyFill="1" applyBorder="1" applyAlignment="1" applyProtection="1">
      <alignment horizontal="left"/>
      <protection hidden="1"/>
    </xf>
    <xf numFmtId="0" fontId="21" fillId="34" borderId="14" xfId="0" applyFont="1" applyFill="1" applyBorder="1" applyAlignment="1" applyProtection="1">
      <alignment horizontal="center"/>
      <protection hidden="1"/>
    </xf>
    <xf numFmtId="0" fontId="21" fillId="33" borderId="0" xfId="0" applyFont="1" applyFill="1" applyBorder="1" applyAlignment="1" applyProtection="1">
      <alignment horizontal="center"/>
      <protection hidden="1"/>
    </xf>
    <xf numFmtId="0" fontId="21" fillId="34" borderId="0" xfId="0" applyFont="1" applyFill="1" applyBorder="1" applyAlignment="1" applyProtection="1">
      <alignment/>
      <protection hidden="1"/>
    </xf>
    <xf numFmtId="0" fontId="39" fillId="34" borderId="10" xfId="0" applyFont="1" applyFill="1" applyBorder="1" applyAlignment="1" applyProtection="1">
      <alignment horizontal="center"/>
      <protection hidden="1"/>
    </xf>
    <xf numFmtId="0" fontId="39" fillId="34" borderId="11" xfId="0" applyFont="1" applyFill="1" applyBorder="1" applyAlignment="1" applyProtection="1">
      <alignment horizontal="center"/>
      <protection hidden="1"/>
    </xf>
    <xf numFmtId="0" fontId="39" fillId="34" borderId="11" xfId="0" applyFont="1" applyFill="1" applyBorder="1" applyAlignment="1" applyProtection="1">
      <alignment/>
      <protection hidden="1"/>
    </xf>
    <xf numFmtId="0" fontId="39" fillId="34" borderId="12" xfId="0" applyFont="1" applyFill="1" applyBorder="1" applyAlignment="1" applyProtection="1">
      <alignment/>
      <protection hidden="1"/>
    </xf>
    <xf numFmtId="0" fontId="39" fillId="33" borderId="0" xfId="0" applyFont="1" applyFill="1" applyBorder="1" applyAlignment="1" applyProtection="1">
      <alignment/>
      <protection hidden="1"/>
    </xf>
    <xf numFmtId="0" fontId="39" fillId="33" borderId="11" xfId="0" applyFont="1" applyFill="1" applyBorder="1" applyAlignment="1" applyProtection="1">
      <alignment/>
      <protection hidden="1"/>
    </xf>
    <xf numFmtId="0" fontId="21" fillId="33" borderId="0" xfId="0" applyFont="1" applyFill="1" applyBorder="1" applyAlignment="1" applyProtection="1">
      <alignment/>
      <protection hidden="1"/>
    </xf>
    <xf numFmtId="0" fontId="21" fillId="34" borderId="14" xfId="0" applyFont="1" applyFill="1" applyBorder="1" applyAlignment="1" applyProtection="1">
      <alignment/>
      <protection hidden="1"/>
    </xf>
    <xf numFmtId="0" fontId="39" fillId="34" borderId="0" xfId="0" applyFont="1" applyFill="1" applyBorder="1" applyAlignment="1" applyProtection="1">
      <alignment/>
      <protection hidden="1"/>
    </xf>
    <xf numFmtId="0" fontId="13" fillId="34" borderId="13" xfId="0" applyFont="1" applyFill="1" applyBorder="1" applyAlignment="1" applyProtection="1">
      <alignment horizontal="center"/>
      <protection hidden="1"/>
    </xf>
    <xf numFmtId="0" fontId="12" fillId="34" borderId="0" xfId="0" applyFont="1" applyFill="1" applyBorder="1" applyAlignment="1" applyProtection="1">
      <alignment horizontal="center"/>
      <protection hidden="1"/>
    </xf>
    <xf numFmtId="0" fontId="13" fillId="34" borderId="0" xfId="0" applyFont="1" applyFill="1" applyBorder="1" applyAlignment="1" applyProtection="1">
      <alignment/>
      <protection hidden="1"/>
    </xf>
    <xf numFmtId="2" fontId="21" fillId="34" borderId="0" xfId="0" applyNumberFormat="1" applyFont="1" applyFill="1" applyBorder="1" applyAlignment="1" applyProtection="1">
      <alignment horizontal="center"/>
      <protection hidden="1"/>
    </xf>
    <xf numFmtId="0" fontId="12" fillId="34" borderId="0" xfId="0" applyFont="1" applyFill="1" applyBorder="1" applyAlignment="1" applyProtection="1">
      <alignment/>
      <protection hidden="1"/>
    </xf>
    <xf numFmtId="0" fontId="39" fillId="34" borderId="47" xfId="0" applyFont="1" applyFill="1" applyBorder="1" applyAlignment="1" applyProtection="1">
      <alignment horizontal="center"/>
      <protection hidden="1"/>
    </xf>
    <xf numFmtId="0" fontId="39" fillId="34" borderId="16" xfId="0" applyFont="1" applyFill="1" applyBorder="1" applyAlignment="1" applyProtection="1">
      <alignment/>
      <protection hidden="1"/>
    </xf>
    <xf numFmtId="0" fontId="39" fillId="34" borderId="16" xfId="0" applyFont="1" applyFill="1" applyBorder="1" applyAlignment="1" applyProtection="1">
      <alignment horizontal="center"/>
      <protection hidden="1"/>
    </xf>
    <xf numFmtId="164" fontId="39" fillId="34" borderId="16" xfId="0" applyNumberFormat="1" applyFont="1" applyFill="1" applyBorder="1" applyAlignment="1" applyProtection="1">
      <alignment horizontal="center"/>
      <protection hidden="1"/>
    </xf>
    <xf numFmtId="1" fontId="39" fillId="34" borderId="16" xfId="0" applyNumberFormat="1" applyFont="1" applyFill="1" applyBorder="1" applyAlignment="1" applyProtection="1">
      <alignment horizontal="center"/>
      <protection hidden="1"/>
    </xf>
    <xf numFmtId="0" fontId="39" fillId="34" borderId="48" xfId="0" applyFont="1" applyFill="1" applyBorder="1" applyAlignment="1" applyProtection="1">
      <alignment/>
      <protection hidden="1"/>
    </xf>
    <xf numFmtId="0" fontId="39" fillId="34" borderId="14" xfId="0" applyFont="1" applyFill="1" applyBorder="1" applyAlignment="1" applyProtection="1">
      <alignment/>
      <protection hidden="1"/>
    </xf>
    <xf numFmtId="165" fontId="39" fillId="34" borderId="0" xfId="0" applyNumberFormat="1" applyFont="1" applyFill="1" applyBorder="1" applyAlignment="1" applyProtection="1">
      <alignment horizontal="center"/>
      <protection hidden="1"/>
    </xf>
    <xf numFmtId="164" fontId="39" fillId="34" borderId="0" xfId="59" applyNumberFormat="1" applyFont="1" applyFill="1" applyBorder="1" applyAlignment="1" applyProtection="1">
      <alignment horizontal="center"/>
      <protection hidden="1"/>
    </xf>
    <xf numFmtId="164" fontId="39" fillId="34" borderId="0" xfId="0" applyNumberFormat="1" applyFont="1" applyFill="1" applyBorder="1" applyAlignment="1" applyProtection="1">
      <alignment horizontal="center"/>
      <protection hidden="1"/>
    </xf>
    <xf numFmtId="9" fontId="39" fillId="34" borderId="0" xfId="59" applyFont="1" applyFill="1" applyBorder="1" applyAlignment="1" applyProtection="1">
      <alignment horizontal="center"/>
      <protection hidden="1"/>
    </xf>
    <xf numFmtId="166" fontId="39" fillId="34" borderId="0" xfId="0" applyNumberFormat="1" applyFont="1" applyFill="1" applyBorder="1" applyAlignment="1" applyProtection="1">
      <alignment horizontal="center"/>
      <protection hidden="1"/>
    </xf>
    <xf numFmtId="2" fontId="39" fillId="34" borderId="16" xfId="0" applyNumberFormat="1" applyFont="1" applyFill="1" applyBorder="1" applyAlignment="1" applyProtection="1">
      <alignment horizontal="center"/>
      <protection hidden="1"/>
    </xf>
    <xf numFmtId="165" fontId="39" fillId="34" borderId="16" xfId="0" applyNumberFormat="1" applyFont="1" applyFill="1" applyBorder="1" applyAlignment="1" applyProtection="1">
      <alignment horizontal="center"/>
      <protection hidden="1"/>
    </xf>
    <xf numFmtId="9" fontId="39" fillId="34" borderId="16" xfId="59" applyFont="1" applyFill="1" applyBorder="1" applyAlignment="1" applyProtection="1">
      <alignment horizontal="center"/>
      <protection hidden="1"/>
    </xf>
    <xf numFmtId="167" fontId="39" fillId="34" borderId="0" xfId="0" applyNumberFormat="1" applyFont="1" applyFill="1" applyBorder="1" applyAlignment="1" applyProtection="1">
      <alignment horizontal="center"/>
      <protection hidden="1"/>
    </xf>
    <xf numFmtId="164" fontId="39" fillId="36" borderId="15" xfId="0" applyNumberFormat="1" applyFont="1" applyFill="1" applyBorder="1" applyAlignment="1" applyProtection="1">
      <alignment horizontal="center"/>
      <protection hidden="1"/>
    </xf>
    <xf numFmtId="1" fontId="39" fillId="36" borderId="15" xfId="0" applyNumberFormat="1" applyFont="1" applyFill="1" applyBorder="1" applyAlignment="1" applyProtection="1">
      <alignment horizontal="center"/>
      <protection hidden="1"/>
    </xf>
    <xf numFmtId="0" fontId="39" fillId="34" borderId="18" xfId="0" applyFont="1" applyFill="1" applyBorder="1" applyAlignment="1" applyProtection="1">
      <alignment horizontal="center"/>
      <protection hidden="1"/>
    </xf>
    <xf numFmtId="0" fontId="39" fillId="34" borderId="40" xfId="0" applyFont="1" applyFill="1" applyBorder="1" applyAlignment="1" applyProtection="1">
      <alignment horizontal="center"/>
      <protection hidden="1"/>
    </xf>
    <xf numFmtId="165" fontId="39" fillId="34" borderId="40" xfId="0" applyNumberFormat="1" applyFont="1" applyFill="1" applyBorder="1" applyAlignment="1" applyProtection="1">
      <alignment horizontal="center"/>
      <protection hidden="1"/>
    </xf>
    <xf numFmtId="164" fontId="39" fillId="34" borderId="40" xfId="59" applyNumberFormat="1" applyFont="1" applyFill="1" applyBorder="1" applyAlignment="1" applyProtection="1">
      <alignment horizontal="center"/>
      <protection hidden="1"/>
    </xf>
    <xf numFmtId="164" fontId="39" fillId="34" borderId="40" xfId="0" applyNumberFormat="1" applyFont="1" applyFill="1" applyBorder="1" applyAlignment="1" applyProtection="1">
      <alignment horizontal="center"/>
      <protection hidden="1"/>
    </xf>
    <xf numFmtId="9" fontId="39" fillId="34" borderId="40" xfId="59" applyFont="1" applyFill="1" applyBorder="1" applyAlignment="1" applyProtection="1">
      <alignment horizontal="center"/>
      <protection hidden="1"/>
    </xf>
    <xf numFmtId="0" fontId="39" fillId="34" borderId="37" xfId="0" applyFont="1" applyFill="1" applyBorder="1" applyAlignment="1" applyProtection="1">
      <alignment/>
      <protection hidden="1"/>
    </xf>
    <xf numFmtId="167" fontId="39" fillId="33" borderId="0" xfId="0" applyNumberFormat="1" applyFont="1" applyFill="1" applyBorder="1" applyAlignment="1" applyProtection="1">
      <alignment horizontal="center"/>
      <protection hidden="1"/>
    </xf>
    <xf numFmtId="165" fontId="39" fillId="33" borderId="0" xfId="0" applyNumberFormat="1" applyFont="1" applyFill="1" applyBorder="1" applyAlignment="1" applyProtection="1">
      <alignment horizontal="center"/>
      <protection hidden="1"/>
    </xf>
    <xf numFmtId="164" fontId="39" fillId="33" borderId="0" xfId="0" applyNumberFormat="1" applyFont="1" applyFill="1" applyBorder="1" applyAlignment="1" applyProtection="1">
      <alignment horizontal="center"/>
      <protection hidden="1"/>
    </xf>
    <xf numFmtId="9" fontId="39" fillId="33" borderId="0" xfId="59" applyFont="1" applyFill="1" applyBorder="1" applyAlignment="1" applyProtection="1">
      <alignment horizontal="center"/>
      <protection hidden="1"/>
    </xf>
    <xf numFmtId="2" fontId="39" fillId="33" borderId="0" xfId="0" applyNumberFormat="1" applyFont="1" applyFill="1" applyBorder="1" applyAlignment="1" applyProtection="1">
      <alignment horizontal="center"/>
      <protection hidden="1"/>
    </xf>
    <xf numFmtId="0" fontId="17" fillId="33" borderId="0" xfId="0" applyFont="1" applyFill="1" applyBorder="1" applyAlignment="1" applyProtection="1">
      <alignment horizontal="center"/>
      <protection hidden="1"/>
    </xf>
    <xf numFmtId="0" fontId="12" fillId="33" borderId="0" xfId="0" applyFont="1" applyFill="1" applyBorder="1" applyAlignment="1" applyProtection="1">
      <alignment horizontal="center"/>
      <protection hidden="1"/>
    </xf>
    <xf numFmtId="0" fontId="17" fillId="33" borderId="0" xfId="0" applyFont="1" applyFill="1" applyBorder="1" applyAlignment="1" applyProtection="1">
      <alignment/>
      <protection hidden="1"/>
    </xf>
    <xf numFmtId="0" fontId="13" fillId="33" borderId="0" xfId="0" applyFont="1" applyFill="1" applyBorder="1" applyAlignment="1" applyProtection="1">
      <alignment/>
      <protection hidden="1"/>
    </xf>
    <xf numFmtId="0" fontId="9" fillId="33" borderId="0" xfId="0" applyFont="1" applyFill="1" applyBorder="1" applyAlignment="1" applyProtection="1">
      <alignment horizontal="center"/>
      <protection hidden="1"/>
    </xf>
    <xf numFmtId="164" fontId="17" fillId="33" borderId="0" xfId="0" applyNumberFormat="1" applyFont="1" applyFill="1" applyBorder="1" applyAlignment="1" applyProtection="1">
      <alignment horizontal="center"/>
      <protection hidden="1"/>
    </xf>
    <xf numFmtId="0" fontId="9" fillId="33" borderId="0" xfId="0" applyFont="1" applyFill="1" applyBorder="1" applyAlignment="1" applyProtection="1">
      <alignment/>
      <protection hidden="1"/>
    </xf>
    <xf numFmtId="0" fontId="39" fillId="33" borderId="0" xfId="0" applyFont="1" applyFill="1" applyAlignment="1" applyProtection="1">
      <alignment/>
      <protection hidden="1"/>
    </xf>
    <xf numFmtId="164" fontId="21" fillId="33" borderId="0" xfId="0" applyNumberFormat="1" applyFont="1" applyFill="1" applyBorder="1" applyAlignment="1" applyProtection="1">
      <alignment horizontal="center"/>
      <protection hidden="1"/>
    </xf>
    <xf numFmtId="0" fontId="21" fillId="33" borderId="0" xfId="0" applyFont="1" applyFill="1" applyAlignment="1" applyProtection="1">
      <alignment/>
      <protection hidden="1"/>
    </xf>
    <xf numFmtId="0" fontId="40" fillId="34" borderId="0" xfId="0" applyFont="1" applyFill="1" applyBorder="1" applyAlignment="1" applyProtection="1">
      <alignment horizontal="center"/>
      <protection hidden="1"/>
    </xf>
    <xf numFmtId="14" fontId="21" fillId="34" borderId="0" xfId="0" applyNumberFormat="1" applyFont="1" applyFill="1" applyBorder="1" applyAlignment="1" applyProtection="1">
      <alignment horizontal="center"/>
      <protection hidden="1"/>
    </xf>
    <xf numFmtId="14" fontId="21" fillId="34" borderId="14" xfId="0" applyNumberFormat="1" applyFont="1" applyFill="1" applyBorder="1" applyAlignment="1" applyProtection="1">
      <alignment horizontal="center"/>
      <protection hidden="1"/>
    </xf>
    <xf numFmtId="0" fontId="21" fillId="36" borderId="15" xfId="0" applyFont="1" applyFill="1" applyBorder="1" applyAlignment="1" applyProtection="1">
      <alignment horizontal="center"/>
      <protection hidden="1"/>
    </xf>
    <xf numFmtId="14" fontId="21" fillId="34" borderId="0" xfId="0" applyNumberFormat="1" applyFont="1" applyFill="1" applyBorder="1" applyAlignment="1" applyProtection="1">
      <alignment horizontal="center" shrinkToFit="1"/>
      <protection hidden="1"/>
    </xf>
    <xf numFmtId="14" fontId="21" fillId="33" borderId="0" xfId="0" applyNumberFormat="1" applyFont="1" applyFill="1" applyBorder="1" applyAlignment="1" applyProtection="1">
      <alignment horizontal="center"/>
      <protection hidden="1"/>
    </xf>
    <xf numFmtId="0" fontId="17" fillId="36" borderId="15" xfId="0" applyFont="1" applyFill="1" applyBorder="1" applyAlignment="1" applyProtection="1">
      <alignment horizontal="center"/>
      <protection hidden="1"/>
    </xf>
    <xf numFmtId="8" fontId="39" fillId="34" borderId="0" xfId="0" applyNumberFormat="1" applyFont="1" applyFill="1" applyBorder="1" applyAlignment="1" applyProtection="1" quotePrefix="1">
      <alignment horizontal="center"/>
      <protection hidden="1"/>
    </xf>
    <xf numFmtId="1" fontId="17" fillId="36" borderId="15" xfId="0" applyNumberFormat="1" applyFont="1" applyFill="1" applyBorder="1" applyAlignment="1" applyProtection="1">
      <alignment horizontal="center"/>
      <protection hidden="1"/>
    </xf>
    <xf numFmtId="0" fontId="13" fillId="34" borderId="0" xfId="0" applyFont="1" applyFill="1" applyAlignment="1" applyProtection="1">
      <alignment/>
      <protection hidden="1"/>
    </xf>
    <xf numFmtId="0" fontId="13" fillId="33" borderId="0" xfId="0" applyFont="1" applyFill="1" applyAlignment="1" applyProtection="1">
      <alignment/>
      <protection hidden="1"/>
    </xf>
    <xf numFmtId="0" fontId="13" fillId="34" borderId="14" xfId="0" applyFont="1" applyFill="1" applyBorder="1" applyAlignment="1" applyProtection="1">
      <alignment/>
      <protection hidden="1"/>
    </xf>
    <xf numFmtId="1" fontId="17" fillId="33" borderId="0" xfId="0" applyNumberFormat="1" applyFont="1" applyFill="1" applyBorder="1" applyAlignment="1" applyProtection="1">
      <alignment horizontal="center"/>
      <protection hidden="1"/>
    </xf>
    <xf numFmtId="0" fontId="39" fillId="36" borderId="15" xfId="0" applyFont="1" applyFill="1" applyBorder="1" applyAlignment="1" applyProtection="1">
      <alignment horizontal="center"/>
      <protection hidden="1"/>
    </xf>
    <xf numFmtId="168" fontId="21" fillId="33" borderId="0" xfId="0" applyNumberFormat="1" applyFont="1" applyFill="1" applyAlignment="1" applyProtection="1">
      <alignment/>
      <protection hidden="1"/>
    </xf>
    <xf numFmtId="1" fontId="39" fillId="34" borderId="15" xfId="0" applyNumberFormat="1" applyFont="1" applyFill="1" applyBorder="1" applyAlignment="1" applyProtection="1">
      <alignment horizontal="center"/>
      <protection hidden="1"/>
    </xf>
    <xf numFmtId="172" fontId="21" fillId="33" borderId="0" xfId="0" applyNumberFormat="1" applyFont="1" applyFill="1" applyAlignment="1" applyProtection="1">
      <alignment/>
      <protection hidden="1"/>
    </xf>
    <xf numFmtId="2" fontId="21" fillId="33" borderId="0" xfId="0" applyNumberFormat="1" applyFont="1" applyFill="1" applyAlignment="1" applyProtection="1">
      <alignment/>
      <protection hidden="1"/>
    </xf>
    <xf numFmtId="164" fontId="21" fillId="33" borderId="0" xfId="0" applyNumberFormat="1" applyFont="1" applyFill="1" applyAlignment="1" applyProtection="1">
      <alignment/>
      <protection hidden="1"/>
    </xf>
    <xf numFmtId="1" fontId="17" fillId="36" borderId="24" xfId="0" applyNumberFormat="1" applyFont="1" applyFill="1" applyBorder="1" applyAlignment="1" applyProtection="1">
      <alignment horizontal="center"/>
      <protection hidden="1"/>
    </xf>
    <xf numFmtId="2" fontId="39" fillId="34" borderId="0" xfId="0" applyNumberFormat="1" applyFont="1" applyFill="1" applyBorder="1" applyAlignment="1" applyProtection="1">
      <alignment horizontal="center"/>
      <protection hidden="1"/>
    </xf>
    <xf numFmtId="1" fontId="17" fillId="36" borderId="27" xfId="0" applyNumberFormat="1" applyFont="1" applyFill="1" applyBorder="1" applyAlignment="1" applyProtection="1">
      <alignment horizontal="center"/>
      <protection hidden="1"/>
    </xf>
    <xf numFmtId="0" fontId="39" fillId="33" borderId="0" xfId="0" applyFont="1" applyFill="1" applyAlignment="1" applyProtection="1">
      <alignment horizontal="center"/>
      <protection hidden="1"/>
    </xf>
    <xf numFmtId="1" fontId="39" fillId="36" borderId="35" xfId="0" applyNumberFormat="1" applyFont="1" applyFill="1" applyBorder="1" applyAlignment="1" applyProtection="1">
      <alignment horizontal="center"/>
      <protection hidden="1"/>
    </xf>
    <xf numFmtId="0" fontId="39" fillId="36" borderId="35" xfId="0" applyFont="1" applyFill="1" applyBorder="1" applyAlignment="1" applyProtection="1">
      <alignment horizontal="center"/>
      <protection hidden="1"/>
    </xf>
    <xf numFmtId="1" fontId="39" fillId="34" borderId="0" xfId="0" applyNumberFormat="1" applyFont="1" applyFill="1" applyBorder="1" applyAlignment="1" applyProtection="1">
      <alignment horizontal="center"/>
      <protection hidden="1"/>
    </xf>
    <xf numFmtId="1" fontId="42" fillId="34" borderId="0" xfId="0" applyNumberFormat="1" applyFont="1" applyFill="1" applyBorder="1" applyAlignment="1" applyProtection="1">
      <alignment horizontal="center"/>
      <protection hidden="1"/>
    </xf>
    <xf numFmtId="1" fontId="13" fillId="34" borderId="0" xfId="0" applyNumberFormat="1" applyFont="1" applyFill="1" applyBorder="1" applyAlignment="1" applyProtection="1">
      <alignment horizontal="center"/>
      <protection hidden="1"/>
    </xf>
    <xf numFmtId="164" fontId="39" fillId="34" borderId="15" xfId="0" applyNumberFormat="1" applyFont="1" applyFill="1" applyBorder="1" applyAlignment="1" applyProtection="1">
      <alignment horizontal="center"/>
      <protection hidden="1"/>
    </xf>
    <xf numFmtId="2" fontId="39" fillId="34" borderId="40" xfId="0" applyNumberFormat="1" applyFont="1" applyFill="1" applyBorder="1" applyAlignment="1" applyProtection="1">
      <alignment horizontal="center"/>
      <protection hidden="1"/>
    </xf>
    <xf numFmtId="0" fontId="17" fillId="33" borderId="0" xfId="0" applyFont="1" applyFill="1" applyAlignment="1" applyProtection="1">
      <alignment/>
      <protection hidden="1"/>
    </xf>
    <xf numFmtId="0" fontId="9" fillId="33" borderId="0" xfId="0" applyFont="1" applyFill="1" applyAlignment="1" applyProtection="1">
      <alignment/>
      <protection hidden="1"/>
    </xf>
    <xf numFmtId="0" fontId="13" fillId="33" borderId="0" xfId="0" applyFont="1" applyFill="1" applyBorder="1" applyAlignment="1" applyProtection="1">
      <alignment horizontal="center"/>
      <protection hidden="1"/>
    </xf>
    <xf numFmtId="0" fontId="14" fillId="33" borderId="0" xfId="0" applyFont="1" applyFill="1" applyBorder="1" applyAlignment="1" applyProtection="1">
      <alignment horizontal="center"/>
      <protection hidden="1"/>
    </xf>
    <xf numFmtId="0" fontId="12" fillId="33" borderId="0" xfId="0" applyFont="1" applyFill="1" applyBorder="1" applyAlignment="1" applyProtection="1">
      <alignment/>
      <protection hidden="1"/>
    </xf>
    <xf numFmtId="0" fontId="13" fillId="33" borderId="0" xfId="0" applyFont="1" applyFill="1" applyAlignment="1" applyProtection="1">
      <alignment horizontal="center"/>
      <protection hidden="1"/>
    </xf>
    <xf numFmtId="0" fontId="8" fillId="33" borderId="0" xfId="0" applyFont="1" applyFill="1" applyBorder="1" applyAlignment="1" applyProtection="1">
      <alignment horizontal="center"/>
      <protection hidden="1"/>
    </xf>
    <xf numFmtId="166" fontId="13" fillId="33" borderId="0" xfId="0" applyNumberFormat="1" applyFont="1" applyFill="1" applyBorder="1" applyAlignment="1" applyProtection="1">
      <alignment horizontal="center"/>
      <protection hidden="1"/>
    </xf>
    <xf numFmtId="0" fontId="22" fillId="33" borderId="0" xfId="0" applyFont="1" applyFill="1" applyBorder="1" applyAlignment="1" applyProtection="1">
      <alignment/>
      <protection hidden="1"/>
    </xf>
    <xf numFmtId="0" fontId="6" fillId="33" borderId="0" xfId="0" applyFont="1" applyFill="1" applyBorder="1" applyAlignment="1" applyProtection="1">
      <alignment horizontal="right"/>
      <protection hidden="1"/>
    </xf>
    <xf numFmtId="0" fontId="6" fillId="33" borderId="0" xfId="0" applyFont="1" applyFill="1" applyBorder="1" applyAlignment="1" applyProtection="1">
      <alignment horizontal="left"/>
      <protection hidden="1"/>
    </xf>
    <xf numFmtId="0" fontId="41" fillId="33" borderId="0" xfId="0" applyFont="1" applyFill="1" applyBorder="1" applyAlignment="1" applyProtection="1">
      <alignment/>
      <protection hidden="1"/>
    </xf>
    <xf numFmtId="0" fontId="9" fillId="33" borderId="0" xfId="0" applyFont="1" applyFill="1" applyBorder="1" applyAlignment="1" applyProtection="1">
      <alignment/>
      <protection hidden="1"/>
    </xf>
    <xf numFmtId="0" fontId="9" fillId="33" borderId="0" xfId="0" applyFont="1" applyFill="1" applyBorder="1" applyAlignment="1" applyProtection="1">
      <alignment horizontal="left"/>
      <protection hidden="1"/>
    </xf>
    <xf numFmtId="14" fontId="9" fillId="33" borderId="0" xfId="0" applyNumberFormat="1" applyFont="1" applyFill="1" applyBorder="1" applyAlignment="1" applyProtection="1">
      <alignment/>
      <protection hidden="1"/>
    </xf>
    <xf numFmtId="14" fontId="12" fillId="33" borderId="0" xfId="0" applyNumberFormat="1" applyFont="1" applyFill="1" applyBorder="1" applyAlignment="1" applyProtection="1">
      <alignment horizontal="center"/>
      <protection hidden="1"/>
    </xf>
    <xf numFmtId="164" fontId="13" fillId="33" borderId="0" xfId="0" applyNumberFormat="1" applyFont="1" applyFill="1" applyBorder="1" applyAlignment="1" applyProtection="1">
      <alignment horizontal="center"/>
      <protection hidden="1"/>
    </xf>
    <xf numFmtId="9" fontId="13" fillId="33" borderId="0" xfId="59" applyFont="1" applyFill="1" applyBorder="1" applyAlignment="1" applyProtection="1">
      <alignment horizontal="center"/>
      <protection hidden="1"/>
    </xf>
    <xf numFmtId="1" fontId="12" fillId="33" borderId="0" xfId="0" applyNumberFormat="1" applyFont="1" applyFill="1" applyBorder="1" applyAlignment="1" applyProtection="1">
      <alignment horizontal="center"/>
      <protection hidden="1"/>
    </xf>
    <xf numFmtId="165" fontId="13" fillId="33" borderId="0" xfId="0" applyNumberFormat="1" applyFont="1" applyFill="1" applyBorder="1" applyAlignment="1" applyProtection="1">
      <alignment horizontal="center"/>
      <protection hidden="1"/>
    </xf>
    <xf numFmtId="164" fontId="13" fillId="33" borderId="0" xfId="59" applyNumberFormat="1" applyFont="1" applyFill="1" applyBorder="1" applyAlignment="1" applyProtection="1">
      <alignment horizontal="center"/>
      <protection hidden="1"/>
    </xf>
    <xf numFmtId="1" fontId="13" fillId="33" borderId="0" xfId="0" applyNumberFormat="1" applyFont="1" applyFill="1" applyBorder="1" applyAlignment="1" applyProtection="1">
      <alignment horizontal="center"/>
      <protection hidden="1"/>
    </xf>
    <xf numFmtId="1" fontId="13" fillId="33" borderId="0" xfId="0" applyNumberFormat="1" applyFont="1" applyFill="1" applyBorder="1" applyAlignment="1" applyProtection="1" quotePrefix="1">
      <alignment horizontal="center"/>
      <protection hidden="1"/>
    </xf>
    <xf numFmtId="166" fontId="13" fillId="33" borderId="0" xfId="0" applyNumberFormat="1" applyFont="1" applyFill="1" applyBorder="1" applyAlignment="1" applyProtection="1" quotePrefix="1">
      <alignment horizontal="center"/>
      <protection hidden="1"/>
    </xf>
    <xf numFmtId="167" fontId="12" fillId="33" borderId="0" xfId="0" applyNumberFormat="1" applyFont="1" applyFill="1" applyBorder="1" applyAlignment="1" applyProtection="1">
      <alignment horizontal="center"/>
      <protection hidden="1"/>
    </xf>
    <xf numFmtId="0" fontId="13" fillId="33" borderId="0" xfId="0" applyFont="1" applyFill="1" applyBorder="1" applyAlignment="1" applyProtection="1">
      <alignment horizontal="right"/>
      <protection hidden="1"/>
    </xf>
    <xf numFmtId="166" fontId="13" fillId="33" borderId="0" xfId="0" applyNumberFormat="1" applyFont="1" applyFill="1" applyBorder="1" applyAlignment="1" applyProtection="1">
      <alignment/>
      <protection hidden="1"/>
    </xf>
    <xf numFmtId="0" fontId="6" fillId="33" borderId="0" xfId="0" applyFont="1" applyFill="1" applyBorder="1" applyAlignment="1" applyProtection="1">
      <alignment/>
      <protection hidden="1"/>
    </xf>
    <xf numFmtId="0" fontId="12" fillId="33" borderId="0" xfId="0" applyFont="1" applyFill="1" applyBorder="1" applyAlignment="1" applyProtection="1">
      <alignment horizontal="left"/>
      <protection hidden="1"/>
    </xf>
    <xf numFmtId="14" fontId="12" fillId="33" borderId="0" xfId="0" applyNumberFormat="1" applyFont="1" applyFill="1" applyBorder="1" applyAlignment="1" applyProtection="1">
      <alignment/>
      <protection hidden="1"/>
    </xf>
    <xf numFmtId="14" fontId="13" fillId="33" borderId="0" xfId="0" applyNumberFormat="1" applyFont="1" applyFill="1" applyBorder="1" applyAlignment="1" applyProtection="1">
      <alignment horizontal="center"/>
      <protection hidden="1"/>
    </xf>
    <xf numFmtId="0" fontId="12" fillId="33" borderId="0" xfId="0" applyFont="1" applyFill="1" applyBorder="1" applyAlignment="1" applyProtection="1">
      <alignment horizontal="right"/>
      <protection hidden="1"/>
    </xf>
    <xf numFmtId="0" fontId="12" fillId="33" borderId="0" xfId="0" applyFont="1" applyFill="1" applyBorder="1" applyAlignment="1" applyProtection="1">
      <alignment/>
      <protection hidden="1"/>
    </xf>
    <xf numFmtId="2" fontId="13" fillId="33" borderId="0" xfId="0" applyNumberFormat="1" applyFont="1" applyFill="1" applyBorder="1" applyAlignment="1" applyProtection="1">
      <alignment horizontal="center"/>
      <protection hidden="1"/>
    </xf>
    <xf numFmtId="8" fontId="13" fillId="33" borderId="0" xfId="0" applyNumberFormat="1" applyFont="1" applyFill="1" applyBorder="1" applyAlignment="1" applyProtection="1" quotePrefix="1">
      <alignment horizontal="center"/>
      <protection hidden="1"/>
    </xf>
    <xf numFmtId="8" fontId="13" fillId="33" borderId="0" xfId="0" applyNumberFormat="1" applyFont="1" applyFill="1" applyBorder="1" applyAlignment="1" applyProtection="1">
      <alignment/>
      <protection hidden="1"/>
    </xf>
    <xf numFmtId="167" fontId="13" fillId="33" borderId="0" xfId="0" applyNumberFormat="1" applyFont="1" applyFill="1" applyBorder="1" applyAlignment="1" applyProtection="1">
      <alignment horizontal="center"/>
      <protection hidden="1"/>
    </xf>
    <xf numFmtId="2" fontId="0" fillId="33" borderId="0" xfId="0" applyNumberFormat="1" applyFont="1" applyFill="1" applyAlignment="1" applyProtection="1">
      <alignment/>
      <protection/>
    </xf>
    <xf numFmtId="10" fontId="0" fillId="33" borderId="0" xfId="0" applyNumberFormat="1" applyFont="1" applyFill="1" applyAlignment="1" applyProtection="1">
      <alignment/>
      <protection/>
    </xf>
    <xf numFmtId="0" fontId="43" fillId="0" borderId="0" xfId="0" applyFont="1" applyFill="1" applyAlignment="1" applyProtection="1">
      <alignment horizontal="center" vertical="center"/>
      <protection locked="0"/>
    </xf>
    <xf numFmtId="0" fontId="0" fillId="37" borderId="49" xfId="0" applyFont="1" applyFill="1" applyBorder="1" applyAlignment="1" applyProtection="1">
      <alignment/>
      <protection/>
    </xf>
    <xf numFmtId="0" fontId="0" fillId="37" borderId="50" xfId="0" applyFont="1" applyFill="1" applyBorder="1" applyAlignment="1" applyProtection="1">
      <alignment/>
      <protection/>
    </xf>
    <xf numFmtId="2" fontId="0" fillId="37" borderId="50" xfId="0" applyNumberFormat="1" applyFont="1" applyFill="1" applyBorder="1" applyAlignment="1" applyProtection="1">
      <alignment horizontal="center"/>
      <protection/>
    </xf>
    <xf numFmtId="164" fontId="0" fillId="37" borderId="50" xfId="0" applyNumberFormat="1" applyFont="1" applyFill="1" applyBorder="1" applyAlignment="1" applyProtection="1" quotePrefix="1">
      <alignment horizontal="center"/>
      <protection/>
    </xf>
    <xf numFmtId="0" fontId="0" fillId="37" borderId="51" xfId="0" applyFont="1" applyFill="1" applyBorder="1" applyAlignment="1" applyProtection="1">
      <alignment/>
      <protection/>
    </xf>
    <xf numFmtId="0" fontId="0" fillId="37" borderId="0" xfId="0" applyFont="1" applyFill="1" applyBorder="1" applyAlignment="1" applyProtection="1">
      <alignment/>
      <protection/>
    </xf>
    <xf numFmtId="2" fontId="0" fillId="37" borderId="0" xfId="0" applyNumberFormat="1" applyFont="1" applyFill="1" applyBorder="1" applyAlignment="1" applyProtection="1">
      <alignment horizontal="center"/>
      <protection/>
    </xf>
    <xf numFmtId="164" fontId="0" fillId="37" borderId="0" xfId="0" applyNumberFormat="1" applyFont="1" applyFill="1" applyBorder="1" applyAlignment="1" applyProtection="1" quotePrefix="1">
      <alignment horizontal="center"/>
      <protection/>
    </xf>
    <xf numFmtId="166" fontId="0" fillId="37" borderId="0" xfId="0" applyNumberFormat="1" applyFont="1" applyFill="1" applyBorder="1" applyAlignment="1" applyProtection="1" quotePrefix="1">
      <alignment horizontal="center"/>
      <protection/>
    </xf>
    <xf numFmtId="0" fontId="0" fillId="37" borderId="52" xfId="0" applyFont="1" applyFill="1" applyBorder="1" applyAlignment="1" applyProtection="1">
      <alignment/>
      <protection/>
    </xf>
    <xf numFmtId="0" fontId="0" fillId="37" borderId="53" xfId="0" applyFont="1" applyFill="1" applyBorder="1" applyAlignment="1" applyProtection="1">
      <alignment/>
      <protection/>
    </xf>
    <xf numFmtId="2" fontId="0" fillId="37" borderId="53" xfId="0" applyNumberFormat="1" applyFont="1" applyFill="1" applyBorder="1" applyAlignment="1" applyProtection="1">
      <alignment horizontal="center"/>
      <protection/>
    </xf>
    <xf numFmtId="166" fontId="0" fillId="37" borderId="53" xfId="0" applyNumberFormat="1" applyFont="1" applyFill="1" applyBorder="1" applyAlignment="1" applyProtection="1" quotePrefix="1">
      <alignment horizontal="center"/>
      <protection/>
    </xf>
    <xf numFmtId="0" fontId="0" fillId="37" borderId="54" xfId="0" applyFont="1" applyFill="1" applyBorder="1" applyAlignment="1" applyProtection="1">
      <alignment/>
      <protection/>
    </xf>
    <xf numFmtId="0" fontId="0" fillId="37" borderId="55" xfId="0" applyFont="1" applyFill="1" applyBorder="1" applyAlignment="1" applyProtection="1">
      <alignment/>
      <protection/>
    </xf>
    <xf numFmtId="0" fontId="0" fillId="37" borderId="56" xfId="0" applyFont="1" applyFill="1" applyBorder="1" applyAlignment="1" applyProtection="1">
      <alignment/>
      <protection/>
    </xf>
    <xf numFmtId="0" fontId="0" fillId="37" borderId="50" xfId="0" applyFont="1" applyFill="1" applyBorder="1" applyAlignment="1" applyProtection="1">
      <alignment horizontal="center"/>
      <protection/>
    </xf>
    <xf numFmtId="0" fontId="0" fillId="37" borderId="0" xfId="0" applyFont="1" applyFill="1" applyBorder="1" applyAlignment="1" applyProtection="1">
      <alignment horizontal="center"/>
      <protection/>
    </xf>
    <xf numFmtId="0" fontId="0" fillId="37" borderId="53" xfId="0" applyFont="1" applyFill="1" applyBorder="1" applyAlignment="1" applyProtection="1">
      <alignment horizontal="center"/>
      <protection/>
    </xf>
    <xf numFmtId="0" fontId="0" fillId="37" borderId="57" xfId="0" applyFont="1" applyFill="1" applyBorder="1" applyAlignment="1" applyProtection="1">
      <alignment/>
      <protection/>
    </xf>
    <xf numFmtId="0" fontId="0" fillId="36" borderId="58" xfId="0" applyFont="1" applyFill="1" applyBorder="1" applyAlignment="1" applyProtection="1">
      <alignment horizontal="center"/>
      <protection locked="0"/>
    </xf>
    <xf numFmtId="0" fontId="0" fillId="33" borderId="0" xfId="0" applyFont="1" applyFill="1" applyAlignment="1" applyProtection="1">
      <alignment/>
      <protection hidden="1"/>
    </xf>
    <xf numFmtId="0" fontId="16" fillId="33" borderId="0" xfId="0" applyFont="1" applyFill="1" applyBorder="1" applyAlignment="1" applyProtection="1">
      <alignment/>
      <protection hidden="1"/>
    </xf>
    <xf numFmtId="166" fontId="16" fillId="33" borderId="0" xfId="0" applyNumberFormat="1" applyFont="1" applyFill="1" applyBorder="1" applyAlignment="1" applyProtection="1">
      <alignment horizontal="center"/>
      <protection hidden="1"/>
    </xf>
    <xf numFmtId="164" fontId="16" fillId="33" borderId="0" xfId="0" applyNumberFormat="1" applyFont="1" applyFill="1" applyBorder="1" applyAlignment="1" applyProtection="1">
      <alignment horizontal="center"/>
      <protection hidden="1"/>
    </xf>
    <xf numFmtId="0" fontId="7" fillId="33" borderId="0" xfId="0" applyFont="1" applyFill="1" applyBorder="1" applyAlignment="1" applyProtection="1">
      <alignment horizontal="center"/>
      <protection locked="0"/>
    </xf>
    <xf numFmtId="0" fontId="7" fillId="33" borderId="0" xfId="0" applyFont="1" applyFill="1" applyBorder="1" applyAlignment="1" applyProtection="1">
      <alignment horizontal="center"/>
      <protection hidden="1"/>
    </xf>
    <xf numFmtId="0" fontId="7" fillId="33" borderId="0" xfId="0" applyFont="1" applyFill="1" applyBorder="1" applyAlignment="1" applyProtection="1">
      <alignment/>
      <protection hidden="1"/>
    </xf>
    <xf numFmtId="0" fontId="0" fillId="33" borderId="11" xfId="0" applyFont="1" applyFill="1" applyBorder="1" applyAlignment="1" applyProtection="1">
      <alignment/>
      <protection hidden="1"/>
    </xf>
    <xf numFmtId="0" fontId="5" fillId="33" borderId="11" xfId="0" applyFont="1" applyFill="1" applyBorder="1" applyAlignment="1" applyProtection="1">
      <alignment/>
      <protection hidden="1"/>
    </xf>
    <xf numFmtId="0" fontId="0" fillId="33" borderId="0" xfId="0" applyFont="1" applyFill="1" applyBorder="1" applyAlignment="1" applyProtection="1">
      <alignment/>
      <protection hidden="1"/>
    </xf>
    <xf numFmtId="0" fontId="31" fillId="33" borderId="0" xfId="0" applyFont="1" applyFill="1" applyBorder="1" applyAlignment="1" applyProtection="1">
      <alignment horizontal="center"/>
      <protection hidden="1"/>
    </xf>
    <xf numFmtId="0" fontId="11" fillId="33" borderId="0" xfId="0" applyFont="1" applyFill="1" applyBorder="1" applyAlignment="1" applyProtection="1">
      <alignment horizontal="center"/>
      <protection hidden="1"/>
    </xf>
    <xf numFmtId="14" fontId="21" fillId="33" borderId="0" xfId="0" applyNumberFormat="1" applyFont="1" applyFill="1" applyBorder="1" applyAlignment="1" applyProtection="1">
      <alignment horizontal="center"/>
      <protection locked="0"/>
    </xf>
    <xf numFmtId="0" fontId="16" fillId="33" borderId="0" xfId="0" applyFont="1" applyFill="1" applyAlignment="1" applyProtection="1">
      <alignment horizontal="right"/>
      <protection hidden="1"/>
    </xf>
    <xf numFmtId="0" fontId="11" fillId="33" borderId="0" xfId="0" applyFont="1" applyFill="1" applyBorder="1" applyAlignment="1" applyProtection="1">
      <alignment/>
      <protection hidden="1"/>
    </xf>
    <xf numFmtId="0" fontId="18" fillId="33" borderId="0" xfId="0" applyFont="1" applyFill="1" applyBorder="1" applyAlignment="1" applyProtection="1">
      <alignment/>
      <protection hidden="1"/>
    </xf>
    <xf numFmtId="0" fontId="0" fillId="33" borderId="0" xfId="0" applyFont="1" applyFill="1" applyBorder="1" applyAlignment="1" applyProtection="1">
      <alignment horizontal="center"/>
      <protection hidden="1"/>
    </xf>
    <xf numFmtId="2" fontId="16" fillId="37" borderId="0" xfId="0" applyNumberFormat="1" applyFont="1" applyFill="1" applyBorder="1" applyAlignment="1" applyProtection="1">
      <alignment horizontal="center"/>
      <protection/>
    </xf>
    <xf numFmtId="164" fontId="0" fillId="37" borderId="53" xfId="0" applyNumberFormat="1" applyFont="1" applyFill="1" applyBorder="1" applyAlignment="1" applyProtection="1">
      <alignment horizontal="center"/>
      <protection/>
    </xf>
    <xf numFmtId="0" fontId="43" fillId="0" borderId="0" xfId="0" applyFont="1" applyFill="1" applyBorder="1" applyAlignment="1" applyProtection="1">
      <alignment horizontal="center"/>
      <protection locked="0"/>
    </xf>
    <xf numFmtId="164" fontId="0" fillId="34" borderId="0" xfId="0" applyNumberFormat="1" applyFont="1" applyFill="1" applyAlignment="1" applyProtection="1">
      <alignment horizontal="center"/>
      <protection hidden="1"/>
    </xf>
    <xf numFmtId="164" fontId="11" fillId="34" borderId="13" xfId="0" applyNumberFormat="1" applyFont="1" applyFill="1" applyBorder="1" applyAlignment="1" applyProtection="1">
      <alignment/>
      <protection hidden="1"/>
    </xf>
    <xf numFmtId="164" fontId="11" fillId="34" borderId="0" xfId="0" applyNumberFormat="1" applyFont="1" applyFill="1" applyBorder="1" applyAlignment="1" applyProtection="1">
      <alignment horizontal="center"/>
      <protection hidden="1"/>
    </xf>
    <xf numFmtId="1" fontId="0" fillId="34" borderId="0" xfId="0" applyNumberFormat="1" applyFont="1" applyFill="1" applyBorder="1" applyAlignment="1" applyProtection="1">
      <alignment horizontal="center"/>
      <protection hidden="1"/>
    </xf>
    <xf numFmtId="1" fontId="0" fillId="34" borderId="16" xfId="0" applyNumberFormat="1" applyFont="1" applyFill="1" applyBorder="1" applyAlignment="1" applyProtection="1">
      <alignment horizontal="center"/>
      <protection hidden="1"/>
    </xf>
    <xf numFmtId="0" fontId="16" fillId="34" borderId="0" xfId="0" applyFont="1" applyFill="1" applyBorder="1" applyAlignment="1" applyProtection="1">
      <alignment horizontal="left" vertical="center"/>
      <protection hidden="1"/>
    </xf>
    <xf numFmtId="0" fontId="0" fillId="34" borderId="0" xfId="0" applyFont="1" applyFill="1" applyBorder="1" applyAlignment="1" applyProtection="1">
      <alignment horizontal="center" vertical="center"/>
      <protection hidden="1"/>
    </xf>
    <xf numFmtId="166" fontId="0" fillId="34" borderId="0" xfId="0" applyNumberFormat="1" applyFont="1" applyFill="1" applyBorder="1" applyAlignment="1" applyProtection="1">
      <alignment horizontal="center"/>
      <protection hidden="1"/>
    </xf>
    <xf numFmtId="166" fontId="0" fillId="34" borderId="14" xfId="0" applyNumberFormat="1" applyFont="1" applyFill="1" applyBorder="1" applyAlignment="1" applyProtection="1">
      <alignment horizontal="center"/>
      <protection hidden="1"/>
    </xf>
    <xf numFmtId="165" fontId="0" fillId="34" borderId="32" xfId="0" applyNumberFormat="1" applyFont="1" applyFill="1" applyBorder="1" applyAlignment="1" applyProtection="1">
      <alignment horizontal="center"/>
      <protection hidden="1"/>
    </xf>
    <xf numFmtId="164" fontId="0" fillId="34" borderId="32" xfId="0" applyNumberFormat="1" applyFont="1" applyFill="1" applyBorder="1" applyAlignment="1" applyProtection="1">
      <alignment horizontal="center"/>
      <protection hidden="1"/>
    </xf>
    <xf numFmtId="166" fontId="0" fillId="34" borderId="32" xfId="0" applyNumberFormat="1" applyFont="1" applyFill="1" applyBorder="1" applyAlignment="1" applyProtection="1">
      <alignment horizontal="center"/>
      <protection hidden="1"/>
    </xf>
    <xf numFmtId="1" fontId="0" fillId="34" borderId="13" xfId="0" applyNumberFormat="1" applyFont="1" applyFill="1" applyBorder="1" applyAlignment="1" applyProtection="1">
      <alignment horizontal="center"/>
      <protection hidden="1"/>
    </xf>
    <xf numFmtId="1" fontId="16" fillId="34" borderId="59" xfId="0" applyNumberFormat="1" applyFont="1" applyFill="1" applyBorder="1" applyAlignment="1" applyProtection="1">
      <alignment horizontal="center"/>
      <protection hidden="1"/>
    </xf>
    <xf numFmtId="164" fontId="0" fillId="34" borderId="0" xfId="0" applyNumberFormat="1" applyFont="1" applyFill="1" applyBorder="1" applyAlignment="1" applyProtection="1">
      <alignment/>
      <protection hidden="1"/>
    </xf>
    <xf numFmtId="164" fontId="0" fillId="34" borderId="32" xfId="0" applyNumberFormat="1" applyFont="1" applyFill="1" applyBorder="1" applyAlignment="1" applyProtection="1">
      <alignment/>
      <protection hidden="1"/>
    </xf>
    <xf numFmtId="0" fontId="16" fillId="38" borderId="10" xfId="0" applyFont="1" applyFill="1" applyBorder="1" applyAlignment="1" applyProtection="1">
      <alignment horizontal="center"/>
      <protection/>
    </xf>
    <xf numFmtId="2" fontId="16" fillId="38" borderId="11" xfId="0" applyNumberFormat="1" applyFont="1" applyFill="1" applyBorder="1" applyAlignment="1" applyProtection="1">
      <alignment horizontal="center"/>
      <protection/>
    </xf>
    <xf numFmtId="0" fontId="16" fillId="38" borderId="11" xfId="0" applyFont="1" applyFill="1" applyBorder="1" applyAlignment="1" applyProtection="1">
      <alignment horizontal="center"/>
      <protection/>
    </xf>
    <xf numFmtId="0" fontId="16" fillId="38" borderId="13" xfId="0" applyFont="1" applyFill="1" applyBorder="1" applyAlignment="1" applyProtection="1">
      <alignment horizontal="center"/>
      <protection/>
    </xf>
    <xf numFmtId="2" fontId="16" fillId="38" borderId="0" xfId="0" applyNumberFormat="1" applyFont="1" applyFill="1" applyBorder="1" applyAlignment="1" applyProtection="1">
      <alignment horizontal="center"/>
      <protection/>
    </xf>
    <xf numFmtId="0" fontId="16" fillId="38" borderId="0" xfId="0" applyFont="1" applyFill="1" applyBorder="1" applyAlignment="1" applyProtection="1">
      <alignment horizontal="center"/>
      <protection/>
    </xf>
    <xf numFmtId="0" fontId="16" fillId="38" borderId="18" xfId="0" applyFont="1" applyFill="1" applyBorder="1" applyAlignment="1" applyProtection="1">
      <alignment horizontal="center"/>
      <protection/>
    </xf>
    <xf numFmtId="2" fontId="16" fillId="38" borderId="40" xfId="0" applyNumberFormat="1" applyFont="1" applyFill="1" applyBorder="1" applyAlignment="1" applyProtection="1">
      <alignment horizontal="center"/>
      <protection/>
    </xf>
    <xf numFmtId="0" fontId="16" fillId="38" borderId="40" xfId="0" applyFont="1" applyFill="1" applyBorder="1" applyAlignment="1" applyProtection="1">
      <alignment horizontal="center"/>
      <protection/>
    </xf>
    <xf numFmtId="8" fontId="16" fillId="38" borderId="43" xfId="0" applyNumberFormat="1" applyFont="1" applyFill="1" applyBorder="1" applyAlignment="1" applyProtection="1">
      <alignment horizontal="center"/>
      <protection/>
    </xf>
    <xf numFmtId="164" fontId="16" fillId="38" borderId="11" xfId="59" applyNumberFormat="1" applyFont="1" applyFill="1" applyBorder="1" applyAlignment="1" applyProtection="1">
      <alignment horizontal="center"/>
      <protection/>
    </xf>
    <xf numFmtId="8" fontId="16" fillId="38" borderId="44" xfId="0" applyNumberFormat="1" applyFont="1" applyFill="1" applyBorder="1" applyAlignment="1" applyProtection="1">
      <alignment horizontal="center"/>
      <protection/>
    </xf>
    <xf numFmtId="164" fontId="16" fillId="38" borderId="0" xfId="59" applyNumberFormat="1" applyFont="1" applyFill="1" applyBorder="1" applyAlignment="1" applyProtection="1">
      <alignment horizontal="center"/>
      <protection/>
    </xf>
    <xf numFmtId="8" fontId="16" fillId="38" borderId="46" xfId="0" applyNumberFormat="1" applyFont="1" applyFill="1" applyBorder="1" applyAlignment="1" applyProtection="1">
      <alignment horizontal="center"/>
      <protection/>
    </xf>
    <xf numFmtId="164" fontId="16" fillId="38" borderId="40" xfId="59" applyNumberFormat="1" applyFont="1" applyFill="1" applyBorder="1" applyAlignment="1" applyProtection="1">
      <alignment horizontal="center"/>
      <protection/>
    </xf>
    <xf numFmtId="164" fontId="16" fillId="38" borderId="11" xfId="0" applyNumberFormat="1" applyFont="1" applyFill="1" applyBorder="1" applyAlignment="1" applyProtection="1">
      <alignment horizontal="center"/>
      <protection/>
    </xf>
    <xf numFmtId="0" fontId="16" fillId="38" borderId="12" xfId="0" applyFont="1" applyFill="1" applyBorder="1" applyAlignment="1" applyProtection="1">
      <alignment horizontal="center"/>
      <protection/>
    </xf>
    <xf numFmtId="164" fontId="16" fillId="38" borderId="0" xfId="0" applyNumberFormat="1" applyFont="1" applyFill="1" applyBorder="1" applyAlignment="1" applyProtection="1">
      <alignment horizontal="center"/>
      <protection/>
    </xf>
    <xf numFmtId="0" fontId="16" fillId="38" borderId="14" xfId="0" applyFont="1" applyFill="1" applyBorder="1" applyAlignment="1" applyProtection="1">
      <alignment horizontal="center"/>
      <protection/>
    </xf>
    <xf numFmtId="164" fontId="16" fillId="38" borderId="40" xfId="0" applyNumberFormat="1" applyFont="1" applyFill="1" applyBorder="1" applyAlignment="1" applyProtection="1">
      <alignment horizontal="center"/>
      <protection/>
    </xf>
    <xf numFmtId="0" fontId="16" fillId="38" borderId="37" xfId="0" applyFont="1" applyFill="1" applyBorder="1" applyAlignment="1" applyProtection="1">
      <alignment horizontal="center"/>
      <protection/>
    </xf>
    <xf numFmtId="0" fontId="16" fillId="0" borderId="0" xfId="0" applyFont="1" applyAlignment="1" applyProtection="1">
      <alignment horizontal="center"/>
      <protection hidden="1"/>
    </xf>
    <xf numFmtId="164" fontId="16" fillId="0" borderId="0" xfId="0" applyNumberFormat="1" applyFont="1" applyBorder="1" applyAlignment="1" applyProtection="1">
      <alignment horizontal="center"/>
      <protection hidden="1"/>
    </xf>
    <xf numFmtId="2" fontId="16" fillId="0" borderId="0" xfId="0" applyNumberFormat="1" applyFont="1" applyBorder="1" applyAlignment="1" applyProtection="1">
      <alignment horizontal="center"/>
      <protection hidden="1"/>
    </xf>
    <xf numFmtId="164" fontId="16" fillId="0" borderId="0" xfId="0" applyNumberFormat="1" applyFont="1" applyAlignment="1" applyProtection="1">
      <alignment horizontal="center"/>
      <protection hidden="1"/>
    </xf>
    <xf numFmtId="9" fontId="0" fillId="34" borderId="14" xfId="0" applyNumberFormat="1" applyFont="1" applyFill="1" applyBorder="1" applyAlignment="1" applyProtection="1">
      <alignment horizontal="center"/>
      <protection hidden="1"/>
    </xf>
    <xf numFmtId="9" fontId="0" fillId="34" borderId="60" xfId="0" applyNumberFormat="1" applyFont="1" applyFill="1" applyBorder="1" applyAlignment="1" applyProtection="1">
      <alignment horizontal="center"/>
      <protection hidden="1"/>
    </xf>
    <xf numFmtId="2" fontId="0" fillId="0" borderId="0" xfId="0" applyNumberFormat="1" applyFont="1" applyFill="1" applyAlignment="1" applyProtection="1">
      <alignment/>
      <protection/>
    </xf>
    <xf numFmtId="164" fontId="0" fillId="34" borderId="16" xfId="0" applyNumberFormat="1" applyFont="1" applyFill="1" applyBorder="1" applyAlignment="1" applyProtection="1">
      <alignment horizontal="center"/>
      <protection locked="0"/>
    </xf>
    <xf numFmtId="164" fontId="0" fillId="34" borderId="0" xfId="0" applyNumberFormat="1" applyFont="1" applyFill="1" applyBorder="1" applyAlignment="1" applyProtection="1">
      <alignment horizontal="center"/>
      <protection locked="0"/>
    </xf>
    <xf numFmtId="0" fontId="0" fillId="34" borderId="61" xfId="0" applyFont="1" applyFill="1" applyBorder="1" applyAlignment="1" applyProtection="1">
      <alignment/>
      <protection hidden="1"/>
    </xf>
    <xf numFmtId="167" fontId="16" fillId="34" borderId="19" xfId="0" applyNumberFormat="1" applyFont="1" applyFill="1" applyBorder="1" applyAlignment="1" applyProtection="1">
      <alignment horizontal="center"/>
      <protection hidden="1"/>
    </xf>
    <xf numFmtId="165" fontId="14" fillId="34" borderId="19" xfId="0" applyNumberFormat="1" applyFont="1" applyFill="1" applyBorder="1" applyAlignment="1" applyProtection="1">
      <alignment/>
      <protection hidden="1"/>
    </xf>
    <xf numFmtId="164" fontId="0" fillId="34" borderId="19" xfId="0" applyNumberFormat="1" applyFont="1" applyFill="1" applyBorder="1" applyAlignment="1" applyProtection="1">
      <alignment horizontal="center"/>
      <protection hidden="1"/>
    </xf>
    <xf numFmtId="9" fontId="0" fillId="34" borderId="19" xfId="59" applyFont="1" applyFill="1" applyBorder="1" applyAlignment="1" applyProtection="1">
      <alignment horizontal="center"/>
      <protection hidden="1"/>
    </xf>
    <xf numFmtId="166" fontId="0" fillId="34" borderId="19" xfId="0" applyNumberFormat="1" applyFont="1" applyFill="1" applyBorder="1" applyAlignment="1" applyProtection="1">
      <alignment horizontal="center"/>
      <protection hidden="1"/>
    </xf>
    <xf numFmtId="0" fontId="0" fillId="34" borderId="39" xfId="0" applyFont="1" applyFill="1" applyBorder="1" applyAlignment="1" applyProtection="1">
      <alignment/>
      <protection hidden="1"/>
    </xf>
    <xf numFmtId="1" fontId="16" fillId="34" borderId="0" xfId="0" applyNumberFormat="1" applyFont="1" applyFill="1" applyBorder="1" applyAlignment="1" applyProtection="1">
      <alignment horizontal="center"/>
      <protection hidden="1"/>
    </xf>
    <xf numFmtId="0" fontId="11" fillId="34" borderId="19" xfId="0" applyFont="1" applyFill="1" applyBorder="1" applyAlignment="1" applyProtection="1">
      <alignment/>
      <protection hidden="1"/>
    </xf>
    <xf numFmtId="165" fontId="0" fillId="34" borderId="0" xfId="0" applyNumberFormat="1" applyFont="1" applyFill="1" applyBorder="1" applyAlignment="1" applyProtection="1">
      <alignment horizontal="center" vertical="center"/>
      <protection hidden="1"/>
    </xf>
    <xf numFmtId="9" fontId="0" fillId="34" borderId="0" xfId="0" applyNumberFormat="1" applyFont="1" applyFill="1" applyBorder="1" applyAlignment="1" applyProtection="1">
      <alignment horizontal="center"/>
      <protection hidden="1"/>
    </xf>
    <xf numFmtId="168" fontId="0" fillId="33" borderId="0" xfId="0" applyNumberFormat="1" applyFont="1" applyFill="1" applyAlignment="1" applyProtection="1">
      <alignment horizontal="center" vertical="center"/>
      <protection/>
    </xf>
    <xf numFmtId="167" fontId="11" fillId="34" borderId="62" xfId="0" applyNumberFormat="1" applyFont="1" applyFill="1" applyBorder="1" applyAlignment="1" applyProtection="1">
      <alignment horizontal="center" vertical="center"/>
      <protection hidden="1"/>
    </xf>
    <xf numFmtId="165" fontId="11" fillId="34" borderId="63" xfId="0" applyNumberFormat="1" applyFont="1" applyFill="1" applyBorder="1" applyAlignment="1" applyProtection="1">
      <alignment horizontal="center" vertical="center"/>
      <protection hidden="1"/>
    </xf>
    <xf numFmtId="0" fontId="11" fillId="0" borderId="64" xfId="0" applyFont="1" applyBorder="1" applyAlignment="1">
      <alignment vertical="center"/>
    </xf>
    <xf numFmtId="164" fontId="0" fillId="34" borderId="65" xfId="0" applyNumberFormat="1" applyFont="1" applyFill="1" applyBorder="1" applyAlignment="1" applyProtection="1">
      <alignment horizontal="center" vertical="center"/>
      <protection hidden="1"/>
    </xf>
    <xf numFmtId="1" fontId="0" fillId="34" borderId="66" xfId="0" applyNumberFormat="1" applyFont="1" applyFill="1" applyBorder="1" applyAlignment="1" applyProtection="1">
      <alignment horizontal="left" vertical="center"/>
      <protection hidden="1"/>
    </xf>
    <xf numFmtId="164" fontId="0" fillId="34" borderId="63" xfId="0" applyNumberFormat="1" applyFont="1" applyFill="1" applyBorder="1" applyAlignment="1" applyProtection="1">
      <alignment horizontal="left" vertical="center"/>
      <protection hidden="1"/>
    </xf>
    <xf numFmtId="0" fontId="0" fillId="34" borderId="62" xfId="0" applyFont="1" applyFill="1" applyBorder="1" applyAlignment="1" applyProtection="1">
      <alignment vertical="center"/>
      <protection hidden="1"/>
    </xf>
    <xf numFmtId="167" fontId="16" fillId="34" borderId="63" xfId="0" applyNumberFormat="1" applyFont="1" applyFill="1" applyBorder="1" applyAlignment="1" applyProtection="1">
      <alignment horizontal="center" vertical="center"/>
      <protection hidden="1"/>
    </xf>
    <xf numFmtId="164" fontId="0" fillId="34" borderId="63" xfId="0" applyNumberFormat="1" applyFont="1" applyFill="1" applyBorder="1" applyAlignment="1" applyProtection="1">
      <alignment horizontal="center" vertical="center"/>
      <protection locked="0"/>
    </xf>
    <xf numFmtId="2" fontId="0" fillId="34" borderId="63" xfId="0" applyNumberFormat="1" applyFont="1" applyFill="1" applyBorder="1" applyAlignment="1" applyProtection="1">
      <alignment horizontal="center" vertical="center"/>
      <protection locked="0"/>
    </xf>
    <xf numFmtId="165" fontId="0" fillId="34" borderId="63" xfId="0" applyNumberFormat="1" applyFont="1" applyFill="1" applyBorder="1" applyAlignment="1" applyProtection="1">
      <alignment horizontal="center" vertical="center"/>
      <protection locked="0"/>
    </xf>
    <xf numFmtId="165" fontId="14" fillId="34" borderId="63" xfId="0" applyNumberFormat="1" applyFont="1" applyFill="1" applyBorder="1" applyAlignment="1" applyProtection="1">
      <alignment vertical="center"/>
      <protection hidden="1"/>
    </xf>
    <xf numFmtId="0" fontId="0" fillId="34" borderId="63" xfId="0" applyFont="1" applyFill="1" applyBorder="1" applyAlignment="1" applyProtection="1">
      <alignment vertical="center"/>
      <protection/>
    </xf>
    <xf numFmtId="0" fontId="0" fillId="34" borderId="64" xfId="0" applyFont="1" applyFill="1" applyBorder="1" applyAlignment="1" applyProtection="1">
      <alignment vertical="center"/>
      <protection/>
    </xf>
    <xf numFmtId="0" fontId="0" fillId="34" borderId="32" xfId="0" applyFont="1" applyFill="1" applyBorder="1" applyAlignment="1" applyProtection="1">
      <alignment/>
      <protection/>
    </xf>
    <xf numFmtId="0" fontId="0" fillId="34" borderId="65" xfId="0" applyFont="1" applyFill="1" applyBorder="1" applyAlignment="1" applyProtection="1">
      <alignment vertical="center"/>
      <protection hidden="1"/>
    </xf>
    <xf numFmtId="14" fontId="8" fillId="34" borderId="11" xfId="0" applyNumberFormat="1" applyFont="1" applyFill="1" applyBorder="1" applyAlignment="1" applyProtection="1" quotePrefix="1">
      <alignment horizontal="left" vertical="center"/>
      <protection hidden="1"/>
    </xf>
    <xf numFmtId="0" fontId="0" fillId="33" borderId="0" xfId="0" applyFont="1" applyFill="1" applyAlignment="1" applyProtection="1">
      <alignment horizontal="left"/>
      <protection/>
    </xf>
    <xf numFmtId="165" fontId="0" fillId="33" borderId="0" xfId="0" applyNumberFormat="1" applyFont="1" applyFill="1" applyAlignment="1" applyProtection="1">
      <alignment/>
      <protection/>
    </xf>
    <xf numFmtId="165" fontId="0" fillId="0" borderId="0" xfId="0" applyNumberFormat="1" applyFont="1" applyFill="1" applyBorder="1" applyAlignment="1" applyProtection="1">
      <alignment horizontal="center"/>
      <protection/>
    </xf>
    <xf numFmtId="165" fontId="13" fillId="0" borderId="0" xfId="0" applyNumberFormat="1" applyFont="1" applyFill="1" applyBorder="1" applyAlignment="1" applyProtection="1">
      <alignment horizontal="center"/>
      <protection/>
    </xf>
    <xf numFmtId="164" fontId="0" fillId="0" borderId="0" xfId="0" applyNumberFormat="1" applyFont="1" applyFill="1" applyBorder="1" applyAlignment="1" applyProtection="1">
      <alignment horizontal="center"/>
      <protection locked="0"/>
    </xf>
    <xf numFmtId="165" fontId="14" fillId="34" borderId="0" xfId="0" applyNumberFormat="1" applyFont="1" applyFill="1" applyBorder="1" applyAlignment="1" applyProtection="1">
      <alignment horizontal="center"/>
      <protection hidden="1"/>
    </xf>
    <xf numFmtId="0" fontId="0" fillId="34" borderId="67" xfId="0" applyFont="1" applyFill="1" applyBorder="1" applyAlignment="1" applyProtection="1">
      <alignment/>
      <protection/>
    </xf>
    <xf numFmtId="0" fontId="18" fillId="34" borderId="67" xfId="0" applyFont="1" applyFill="1" applyBorder="1" applyAlignment="1" applyProtection="1">
      <alignment/>
      <protection/>
    </xf>
    <xf numFmtId="0" fontId="0" fillId="34" borderId="67" xfId="0" applyFont="1" applyFill="1" applyBorder="1" applyAlignment="1" applyProtection="1">
      <alignment horizontal="center"/>
      <protection/>
    </xf>
    <xf numFmtId="0" fontId="16" fillId="34" borderId="67" xfId="0" applyFont="1" applyFill="1" applyBorder="1" applyAlignment="1" applyProtection="1">
      <alignment/>
      <protection/>
    </xf>
    <xf numFmtId="165" fontId="0" fillId="34" borderId="67" xfId="0" applyNumberFormat="1" applyFont="1" applyFill="1" applyBorder="1" applyAlignment="1" applyProtection="1">
      <alignment/>
      <protection/>
    </xf>
    <xf numFmtId="0" fontId="16" fillId="34" borderId="68" xfId="0" applyFont="1" applyFill="1" applyBorder="1" applyAlignment="1" applyProtection="1">
      <alignment/>
      <protection/>
    </xf>
    <xf numFmtId="0" fontId="16" fillId="34" borderId="69" xfId="0" applyFont="1" applyFill="1" applyBorder="1" applyAlignment="1" applyProtection="1">
      <alignment/>
      <protection/>
    </xf>
    <xf numFmtId="0" fontId="16" fillId="34" borderId="70" xfId="0" applyFont="1" applyFill="1" applyBorder="1" applyAlignment="1" applyProtection="1">
      <alignment/>
      <protection/>
    </xf>
    <xf numFmtId="0" fontId="16" fillId="34" borderId="71" xfId="0" applyFont="1" applyFill="1" applyBorder="1" applyAlignment="1" applyProtection="1">
      <alignment/>
      <protection/>
    </xf>
    <xf numFmtId="0" fontId="16" fillId="34" borderId="72" xfId="0" applyFont="1" applyFill="1" applyBorder="1" applyAlignment="1" applyProtection="1">
      <alignment/>
      <protection/>
    </xf>
    <xf numFmtId="0" fontId="16" fillId="34" borderId="73" xfId="0" applyFont="1" applyFill="1" applyBorder="1" applyAlignment="1" applyProtection="1">
      <alignment/>
      <protection/>
    </xf>
    <xf numFmtId="0" fontId="5" fillId="34" borderId="74" xfId="0" applyFont="1" applyFill="1" applyBorder="1" applyAlignment="1" applyProtection="1">
      <alignment/>
      <protection/>
    </xf>
    <xf numFmtId="0" fontId="16" fillId="34" borderId="67" xfId="0" applyFont="1" applyFill="1" applyBorder="1" applyAlignment="1" applyProtection="1">
      <alignment horizontal="right"/>
      <protection/>
    </xf>
    <xf numFmtId="0" fontId="0" fillId="0" borderId="16" xfId="0" applyFont="1" applyFill="1" applyBorder="1" applyAlignment="1" applyProtection="1">
      <alignment horizontal="center"/>
      <protection hidden="1"/>
    </xf>
    <xf numFmtId="164" fontId="0" fillId="0" borderId="16" xfId="0" applyNumberFormat="1" applyFont="1" applyFill="1" applyBorder="1" applyAlignment="1" applyProtection="1">
      <alignment horizontal="center"/>
      <protection hidden="1"/>
    </xf>
    <xf numFmtId="164" fontId="46" fillId="34" borderId="0" xfId="0" applyNumberFormat="1" applyFont="1" applyFill="1" applyBorder="1" applyAlignment="1" applyProtection="1">
      <alignment horizontal="center"/>
      <protection hidden="1"/>
    </xf>
    <xf numFmtId="0" fontId="16" fillId="34" borderId="16" xfId="0" applyFont="1" applyFill="1" applyBorder="1" applyAlignment="1" applyProtection="1">
      <alignment/>
      <protection hidden="1"/>
    </xf>
    <xf numFmtId="0" fontId="16" fillId="34" borderId="47" xfId="0" applyFont="1" applyFill="1" applyBorder="1" applyAlignment="1" applyProtection="1">
      <alignment/>
      <protection hidden="1"/>
    </xf>
    <xf numFmtId="164" fontId="0" fillId="33" borderId="0" xfId="0" applyNumberFormat="1" applyFont="1" applyFill="1" applyAlignment="1" applyProtection="1">
      <alignment horizontal="center"/>
      <protection/>
    </xf>
    <xf numFmtId="15" fontId="29" fillId="0" borderId="0" xfId="0" applyNumberFormat="1" applyFont="1" applyFill="1" applyAlignment="1">
      <alignment/>
    </xf>
    <xf numFmtId="164" fontId="0" fillId="0" borderId="16" xfId="0" applyNumberFormat="1" applyFont="1" applyFill="1" applyBorder="1" applyAlignment="1" applyProtection="1">
      <alignment horizontal="center"/>
      <protection locked="0"/>
    </xf>
    <xf numFmtId="0" fontId="16" fillId="34" borderId="0" xfId="0" applyFont="1" applyFill="1" applyAlignment="1" applyProtection="1">
      <alignment horizontal="right"/>
      <protection hidden="1"/>
    </xf>
    <xf numFmtId="166" fontId="8" fillId="33" borderId="0" xfId="0" applyNumberFormat="1" applyFont="1" applyFill="1" applyBorder="1" applyAlignment="1" applyProtection="1">
      <alignment horizontal="center"/>
      <protection/>
    </xf>
    <xf numFmtId="0" fontId="16" fillId="34" borderId="0" xfId="0" applyFont="1" applyFill="1" applyAlignment="1" applyProtection="1">
      <alignment horizontal="left"/>
      <protection/>
    </xf>
    <xf numFmtId="1" fontId="11" fillId="34" borderId="66" xfId="0" applyNumberFormat="1" applyFont="1" applyFill="1" applyBorder="1" applyAlignment="1" applyProtection="1">
      <alignment horizontal="left" vertical="center"/>
      <protection hidden="1"/>
    </xf>
    <xf numFmtId="0" fontId="11" fillId="34" borderId="64" xfId="0" applyFont="1" applyFill="1" applyBorder="1" applyAlignment="1" applyProtection="1">
      <alignment vertical="center"/>
      <protection/>
    </xf>
    <xf numFmtId="2" fontId="0" fillId="34" borderId="0" xfId="59" applyNumberFormat="1" applyFont="1" applyFill="1" applyBorder="1" applyAlignment="1" applyProtection="1">
      <alignment horizontal="center"/>
      <protection hidden="1"/>
    </xf>
    <xf numFmtId="2" fontId="0" fillId="34" borderId="16" xfId="59" applyNumberFormat="1" applyFont="1" applyFill="1" applyBorder="1" applyAlignment="1" applyProtection="1">
      <alignment horizontal="center"/>
      <protection hidden="1"/>
    </xf>
    <xf numFmtId="0" fontId="12" fillId="34" borderId="40" xfId="0" applyFont="1" applyFill="1" applyBorder="1" applyAlignment="1" applyProtection="1">
      <alignment horizontal="center"/>
      <protection hidden="1"/>
    </xf>
    <xf numFmtId="0" fontId="0" fillId="33" borderId="32" xfId="0" applyFont="1" applyFill="1" applyBorder="1" applyAlignment="1" applyProtection="1">
      <alignment/>
      <protection/>
    </xf>
    <xf numFmtId="0" fontId="17" fillId="34" borderId="40" xfId="0" applyFont="1" applyFill="1" applyBorder="1" applyAlignment="1" applyProtection="1">
      <alignment horizontal="center"/>
      <protection hidden="1"/>
    </xf>
    <xf numFmtId="0" fontId="0" fillId="36" borderId="75" xfId="0"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2" fontId="0" fillId="0" borderId="16"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68" fontId="16" fillId="36" borderId="11" xfId="0" applyNumberFormat="1" applyFont="1" applyFill="1" applyBorder="1" applyAlignment="1" applyProtection="1">
      <alignment horizontal="center"/>
      <protection/>
    </xf>
    <xf numFmtId="2" fontId="0" fillId="34" borderId="19" xfId="59" applyNumberFormat="1" applyFont="1" applyFill="1" applyBorder="1" applyAlignment="1" applyProtection="1">
      <alignment horizontal="center"/>
      <protection hidden="1"/>
    </xf>
    <xf numFmtId="0" fontId="13" fillId="33" borderId="0" xfId="0" applyFont="1" applyFill="1" applyAlignment="1" applyProtection="1">
      <alignment/>
      <protection/>
    </xf>
    <xf numFmtId="0" fontId="7" fillId="33" borderId="0" xfId="0" applyFont="1" applyFill="1" applyBorder="1" applyAlignment="1" applyProtection="1">
      <alignment horizontal="center"/>
      <protection/>
    </xf>
    <xf numFmtId="164" fontId="0" fillId="34" borderId="32" xfId="0" applyNumberFormat="1" applyFill="1" applyBorder="1" applyAlignment="1">
      <alignment/>
    </xf>
    <xf numFmtId="0" fontId="13" fillId="38" borderId="0" xfId="0" applyFont="1" applyFill="1" applyBorder="1" applyAlignment="1" applyProtection="1">
      <alignment horizontal="center"/>
      <protection locked="0"/>
    </xf>
    <xf numFmtId="0" fontId="9" fillId="38" borderId="0" xfId="0" applyFont="1" applyFill="1" applyBorder="1" applyAlignment="1" applyProtection="1">
      <alignment horizontal="center"/>
      <protection locked="0"/>
    </xf>
    <xf numFmtId="14" fontId="17" fillId="38" borderId="0" xfId="0" applyNumberFormat="1" applyFont="1" applyFill="1" applyBorder="1" applyAlignment="1" applyProtection="1">
      <alignment horizontal="center" shrinkToFit="1"/>
      <protection locked="0"/>
    </xf>
    <xf numFmtId="8" fontId="13" fillId="38" borderId="0" xfId="0" applyNumberFormat="1" applyFont="1" applyFill="1" applyBorder="1" applyAlignment="1" applyProtection="1" quotePrefix="1">
      <alignment horizontal="center"/>
      <protection locked="0"/>
    </xf>
    <xf numFmtId="0" fontId="12" fillId="38" borderId="0" xfId="0" applyFont="1" applyFill="1" applyBorder="1" applyAlignment="1" applyProtection="1">
      <alignment horizontal="center"/>
      <protection locked="0"/>
    </xf>
    <xf numFmtId="0" fontId="0" fillId="38" borderId="0" xfId="0" applyFont="1" applyFill="1" applyBorder="1" applyAlignment="1" applyProtection="1">
      <alignment horizontal="center" vertical="center"/>
      <protection locked="0"/>
    </xf>
    <xf numFmtId="0" fontId="17" fillId="38" borderId="0" xfId="0" applyFont="1" applyFill="1" applyBorder="1" applyAlignment="1" applyProtection="1">
      <alignment horizontal="center"/>
      <protection locked="0"/>
    </xf>
    <xf numFmtId="1" fontId="0" fillId="38" borderId="15" xfId="0" applyNumberFormat="1" applyFont="1" applyFill="1" applyBorder="1" applyAlignment="1" applyProtection="1">
      <alignment horizontal="center"/>
      <protection locked="0"/>
    </xf>
    <xf numFmtId="0" fontId="0" fillId="38" borderId="15" xfId="0" applyFont="1" applyFill="1" applyBorder="1" applyAlignment="1" applyProtection="1">
      <alignment horizontal="center"/>
      <protection locked="0"/>
    </xf>
    <xf numFmtId="164" fontId="0" fillId="38" borderId="15" xfId="0" applyNumberFormat="1" applyFont="1" applyFill="1" applyBorder="1" applyAlignment="1" applyProtection="1">
      <alignment horizontal="center"/>
      <protection locked="0"/>
    </xf>
    <xf numFmtId="165" fontId="0" fillId="38" borderId="15" xfId="0" applyNumberFormat="1" applyFont="1" applyFill="1" applyBorder="1" applyAlignment="1" applyProtection="1">
      <alignment horizontal="center"/>
      <protection locked="0"/>
    </xf>
    <xf numFmtId="0" fontId="0" fillId="38" borderId="0" xfId="0" applyFont="1" applyFill="1" applyBorder="1" applyAlignment="1" applyProtection="1">
      <alignment horizontal="center"/>
      <protection locked="0"/>
    </xf>
    <xf numFmtId="2" fontId="0" fillId="38" borderId="0" xfId="0" applyNumberFormat="1" applyFont="1" applyFill="1" applyBorder="1" applyAlignment="1" applyProtection="1">
      <alignment horizontal="center"/>
      <protection locked="0"/>
    </xf>
    <xf numFmtId="165" fontId="0" fillId="38" borderId="0" xfId="0" applyNumberFormat="1" applyFont="1" applyFill="1" applyBorder="1" applyAlignment="1" applyProtection="1">
      <alignment horizontal="center"/>
      <protection locked="0"/>
    </xf>
    <xf numFmtId="2" fontId="0" fillId="38" borderId="16" xfId="0" applyNumberFormat="1" applyFont="1" applyFill="1" applyBorder="1" applyAlignment="1" applyProtection="1">
      <alignment horizontal="center"/>
      <protection locked="0"/>
    </xf>
    <xf numFmtId="165" fontId="0" fillId="38" borderId="16" xfId="0" applyNumberFormat="1" applyFont="1" applyFill="1" applyBorder="1" applyAlignment="1" applyProtection="1">
      <alignment horizontal="center"/>
      <protection locked="0"/>
    </xf>
    <xf numFmtId="2" fontId="0" fillId="38" borderId="19" xfId="0" applyNumberFormat="1" applyFont="1" applyFill="1" applyBorder="1" applyAlignment="1" applyProtection="1">
      <alignment horizontal="center"/>
      <protection locked="0"/>
    </xf>
    <xf numFmtId="165" fontId="0" fillId="38" borderId="19" xfId="0" applyNumberFormat="1" applyFont="1" applyFill="1" applyBorder="1" applyAlignment="1" applyProtection="1">
      <alignment horizontal="center"/>
      <protection locked="0"/>
    </xf>
    <xf numFmtId="164" fontId="0" fillId="38" borderId="0" xfId="0" applyNumberFormat="1" applyFont="1" applyFill="1" applyBorder="1" applyAlignment="1" applyProtection="1">
      <alignment horizontal="center"/>
      <protection hidden="1" locked="0"/>
    </xf>
    <xf numFmtId="164" fontId="0" fillId="38" borderId="32" xfId="0" applyNumberFormat="1" applyFont="1" applyFill="1" applyBorder="1" applyAlignment="1" applyProtection="1">
      <alignment horizontal="right" vertical="center"/>
      <protection locked="0"/>
    </xf>
    <xf numFmtId="8" fontId="0" fillId="38" borderId="0" xfId="0" applyNumberFormat="1" applyFont="1" applyFill="1" applyBorder="1" applyAlignment="1" applyProtection="1" quotePrefix="1">
      <alignment horizontal="center"/>
      <protection locked="0"/>
    </xf>
    <xf numFmtId="0" fontId="0" fillId="38" borderId="0" xfId="0" applyFont="1" applyFill="1" applyAlignment="1" applyProtection="1">
      <alignment horizontal="center"/>
      <protection locked="0"/>
    </xf>
    <xf numFmtId="0" fontId="0" fillId="38" borderId="13" xfId="0" applyFont="1" applyFill="1" applyBorder="1" applyAlignment="1" applyProtection="1">
      <alignment horizontal="center"/>
      <protection locked="0"/>
    </xf>
    <xf numFmtId="164" fontId="0" fillId="38" borderId="0" xfId="0" applyNumberFormat="1" applyFont="1" applyFill="1" applyBorder="1" applyAlignment="1" applyProtection="1">
      <alignment horizontal="center"/>
      <protection locked="0"/>
    </xf>
    <xf numFmtId="164" fontId="0" fillId="38" borderId="16" xfId="0" applyNumberFormat="1" applyFont="1" applyFill="1" applyBorder="1" applyAlignment="1" applyProtection="1">
      <alignment horizontal="center"/>
      <protection locked="0"/>
    </xf>
    <xf numFmtId="165" fontId="0" fillId="38" borderId="0" xfId="0" applyNumberFormat="1" applyFont="1" applyFill="1" applyBorder="1" applyAlignment="1" applyProtection="1">
      <alignment horizontal="center"/>
      <protection hidden="1"/>
    </xf>
    <xf numFmtId="2" fontId="0" fillId="38" borderId="32" xfId="0" applyNumberFormat="1" applyFont="1" applyFill="1" applyBorder="1" applyAlignment="1" applyProtection="1">
      <alignment horizontal="center"/>
      <protection locked="0"/>
    </xf>
    <xf numFmtId="164" fontId="0" fillId="38" borderId="32" xfId="0" applyNumberFormat="1" applyFont="1" applyFill="1" applyBorder="1" applyAlignment="1" applyProtection="1">
      <alignment horizontal="center"/>
      <protection locked="0"/>
    </xf>
    <xf numFmtId="164" fontId="0" fillId="38" borderId="32" xfId="0" applyNumberFormat="1" applyFont="1" applyFill="1" applyBorder="1" applyAlignment="1" applyProtection="1">
      <alignment horizontal="center"/>
      <protection hidden="1" locked="0"/>
    </xf>
    <xf numFmtId="0" fontId="21" fillId="38" borderId="15" xfId="0" applyFont="1" applyFill="1" applyBorder="1" applyAlignment="1" applyProtection="1">
      <alignment horizontal="center"/>
      <protection locked="0"/>
    </xf>
    <xf numFmtId="1" fontId="39" fillId="38" borderId="15" xfId="0" applyNumberFormat="1" applyFont="1" applyFill="1" applyBorder="1" applyAlignment="1" applyProtection="1">
      <alignment horizontal="center"/>
      <protection locked="0"/>
    </xf>
    <xf numFmtId="0" fontId="39" fillId="38" borderId="15" xfId="0" applyFont="1" applyFill="1" applyBorder="1" applyAlignment="1" applyProtection="1">
      <alignment horizontal="center"/>
      <protection locked="0"/>
    </xf>
    <xf numFmtId="1" fontId="39" fillId="38" borderId="41" xfId="0" applyNumberFormat="1" applyFont="1" applyFill="1" applyBorder="1" applyAlignment="1" applyProtection="1">
      <alignment horizontal="center"/>
      <protection locked="0"/>
    </xf>
    <xf numFmtId="164" fontId="39" fillId="38" borderId="15" xfId="0" applyNumberFormat="1" applyFont="1" applyFill="1" applyBorder="1" applyAlignment="1" applyProtection="1">
      <alignment horizontal="center"/>
      <protection locked="0"/>
    </xf>
    <xf numFmtId="2" fontId="0" fillId="34" borderId="76" xfId="59" applyNumberFormat="1" applyFont="1" applyFill="1" applyBorder="1" applyAlignment="1" applyProtection="1">
      <alignment horizontal="center"/>
      <protection hidden="1"/>
    </xf>
    <xf numFmtId="0" fontId="9" fillId="0" borderId="0" xfId="0" applyFont="1" applyFill="1" applyBorder="1" applyAlignment="1" applyProtection="1">
      <alignment horizontal="center"/>
      <protection locked="0"/>
    </xf>
    <xf numFmtId="166" fontId="0" fillId="34" borderId="16" xfId="0" applyNumberFormat="1" applyFont="1" applyFill="1" applyBorder="1" applyAlignment="1" applyProtection="1">
      <alignment horizontal="center"/>
      <protection hidden="1"/>
    </xf>
    <xf numFmtId="166" fontId="0" fillId="34" borderId="48" xfId="0" applyNumberFormat="1" applyFont="1" applyFill="1" applyBorder="1" applyAlignment="1" applyProtection="1">
      <alignment horizontal="center"/>
      <protection hidden="1"/>
    </xf>
    <xf numFmtId="0" fontId="19" fillId="34" borderId="40" xfId="0" applyFont="1" applyFill="1" applyBorder="1" applyAlignment="1" applyProtection="1">
      <alignment horizontal="center"/>
      <protection/>
    </xf>
    <xf numFmtId="167" fontId="11" fillId="34" borderId="47" xfId="0" applyNumberFormat="1" applyFont="1" applyFill="1" applyBorder="1" applyAlignment="1" applyProtection="1">
      <alignment horizontal="left" vertical="center"/>
      <protection hidden="1"/>
    </xf>
    <xf numFmtId="167" fontId="11" fillId="34" borderId="38" xfId="0" applyNumberFormat="1" applyFont="1" applyFill="1" applyBorder="1" applyAlignment="1" applyProtection="1">
      <alignment horizontal="left" vertical="center"/>
      <protection hidden="1"/>
    </xf>
    <xf numFmtId="0" fontId="11" fillId="34" borderId="37" xfId="0" applyFont="1" applyFill="1" applyBorder="1" applyAlignment="1" applyProtection="1">
      <alignment/>
      <protection locked="0"/>
    </xf>
    <xf numFmtId="0" fontId="47" fillId="34" borderId="0" xfId="0" applyFont="1" applyFill="1" applyBorder="1" applyAlignment="1" applyProtection="1">
      <alignment/>
      <protection hidden="1"/>
    </xf>
    <xf numFmtId="0" fontId="48" fillId="34" borderId="67" xfId="0" applyFont="1" applyFill="1" applyBorder="1" applyAlignment="1" applyProtection="1">
      <alignment/>
      <protection/>
    </xf>
    <xf numFmtId="167" fontId="16" fillId="34" borderId="47" xfId="0" applyNumberFormat="1" applyFont="1" applyFill="1" applyBorder="1" applyAlignment="1" applyProtection="1">
      <alignment horizontal="center"/>
      <protection hidden="1"/>
    </xf>
    <xf numFmtId="0" fontId="0" fillId="34" borderId="0" xfId="0" applyFill="1" applyAlignment="1">
      <alignment/>
    </xf>
    <xf numFmtId="14" fontId="17" fillId="0" borderId="0" xfId="0" applyNumberFormat="1" applyFont="1" applyFill="1" applyBorder="1" applyAlignment="1" applyProtection="1">
      <alignment horizontal="center" shrinkToFit="1"/>
      <protection locked="0"/>
    </xf>
    <xf numFmtId="194" fontId="2" fillId="34" borderId="11" xfId="0" applyNumberFormat="1" applyFont="1" applyFill="1" applyBorder="1" applyAlignment="1" applyProtection="1" quotePrefix="1">
      <alignment horizontal="left" vertical="center"/>
      <protection hidden="1"/>
    </xf>
    <xf numFmtId="2" fontId="0" fillId="34" borderId="32" xfId="59" applyNumberFormat="1" applyFont="1" applyFill="1" applyBorder="1" applyAlignment="1" applyProtection="1">
      <alignment horizontal="center"/>
      <protection hidden="1"/>
    </xf>
    <xf numFmtId="2" fontId="0" fillId="34" borderId="0" xfId="59" applyNumberFormat="1" applyFont="1" applyFill="1" applyBorder="1" applyAlignment="1" applyProtection="1">
      <alignment horizontal="center"/>
      <protection hidden="1"/>
    </xf>
    <xf numFmtId="0" fontId="11" fillId="34" borderId="77" xfId="0" applyFont="1" applyFill="1" applyBorder="1" applyAlignment="1" applyProtection="1">
      <alignment horizontal="center"/>
      <protection hidden="1"/>
    </xf>
    <xf numFmtId="0" fontId="11" fillId="34" borderId="41" xfId="0" applyFont="1" applyFill="1" applyBorder="1" applyAlignment="1" applyProtection="1">
      <alignment horizontal="center"/>
      <protection hidden="1"/>
    </xf>
    <xf numFmtId="0" fontId="0" fillId="33" borderId="0" xfId="0" applyFont="1" applyFill="1" applyAlignment="1" applyProtection="1">
      <alignment horizontal="left"/>
      <protection/>
    </xf>
    <xf numFmtId="166" fontId="8" fillId="33" borderId="0" xfId="0" applyNumberFormat="1" applyFont="1" applyFill="1" applyBorder="1" applyAlignment="1" applyProtection="1">
      <alignment horizontal="center"/>
      <protection/>
    </xf>
    <xf numFmtId="0" fontId="16" fillId="38" borderId="19" xfId="0" applyFont="1" applyFill="1" applyBorder="1" applyAlignment="1" applyProtection="1">
      <alignment horizontal="center"/>
      <protection locked="0"/>
    </xf>
    <xf numFmtId="166" fontId="13" fillId="34" borderId="40" xfId="0" applyNumberFormat="1" applyFont="1" applyFill="1" applyBorder="1" applyAlignment="1" applyProtection="1">
      <alignment horizontal="center"/>
      <protection hidden="1"/>
    </xf>
    <xf numFmtId="166" fontId="13" fillId="34" borderId="37" xfId="0" applyNumberFormat="1" applyFont="1" applyFill="1" applyBorder="1" applyAlignment="1" applyProtection="1">
      <alignment horizontal="center"/>
      <protection hidden="1"/>
    </xf>
    <xf numFmtId="1" fontId="11" fillId="34" borderId="77" xfId="0" applyNumberFormat="1" applyFont="1" applyFill="1" applyBorder="1" applyAlignment="1" applyProtection="1">
      <alignment horizontal="center"/>
      <protection hidden="1"/>
    </xf>
    <xf numFmtId="1" fontId="11" fillId="34" borderId="41" xfId="0" applyNumberFormat="1" applyFont="1" applyFill="1" applyBorder="1" applyAlignment="1" applyProtection="1">
      <alignment horizontal="center"/>
      <protection hidden="1"/>
    </xf>
    <xf numFmtId="166" fontId="0" fillId="34" borderId="16" xfId="0" applyNumberFormat="1" applyFont="1" applyFill="1" applyBorder="1" applyAlignment="1" applyProtection="1">
      <alignment horizontal="center"/>
      <protection hidden="1"/>
    </xf>
    <xf numFmtId="166" fontId="0" fillId="34" borderId="48" xfId="0" applyNumberFormat="1" applyFont="1" applyFill="1" applyBorder="1" applyAlignment="1" applyProtection="1">
      <alignment horizontal="center"/>
      <protection hidden="1"/>
    </xf>
    <xf numFmtId="166" fontId="0" fillId="34" borderId="0" xfId="0" applyNumberFormat="1" applyFont="1" applyFill="1" applyBorder="1" applyAlignment="1" applyProtection="1">
      <alignment horizontal="center"/>
      <protection hidden="1"/>
    </xf>
    <xf numFmtId="166" fontId="0" fillId="34" borderId="14" xfId="0" applyNumberFormat="1" applyFont="1" applyFill="1" applyBorder="1" applyAlignment="1" applyProtection="1">
      <alignment horizontal="center"/>
      <protection hidden="1"/>
    </xf>
    <xf numFmtId="0" fontId="0" fillId="0" borderId="0" xfId="0" applyFont="1" applyFill="1" applyAlignment="1" applyProtection="1">
      <alignment wrapText="1"/>
      <protection/>
    </xf>
    <xf numFmtId="0" fontId="0" fillId="0" borderId="0" xfId="0" applyFont="1" applyFill="1" applyAlignment="1" applyProtection="1">
      <alignment/>
      <protection/>
    </xf>
    <xf numFmtId="0" fontId="31" fillId="34" borderId="0" xfId="0" applyFont="1" applyFill="1" applyBorder="1" applyAlignment="1" applyProtection="1">
      <alignment horizontal="center"/>
      <protection hidden="1"/>
    </xf>
    <xf numFmtId="0" fontId="34" fillId="34" borderId="0" xfId="0" applyFont="1" applyFill="1" applyBorder="1" applyAlignment="1" applyProtection="1">
      <alignment horizontal="center"/>
      <protection hidden="1"/>
    </xf>
    <xf numFmtId="0" fontId="34" fillId="34" borderId="14" xfId="0" applyFont="1" applyFill="1" applyBorder="1" applyAlignment="1" applyProtection="1">
      <alignment horizontal="center"/>
      <protection hidden="1"/>
    </xf>
    <xf numFmtId="0" fontId="10" fillId="38" borderId="0" xfId="0" applyFont="1" applyFill="1" applyBorder="1" applyAlignment="1" applyProtection="1">
      <alignment horizontal="center"/>
      <protection locked="0"/>
    </xf>
    <xf numFmtId="166" fontId="16" fillId="34" borderId="19" xfId="0" applyNumberFormat="1" applyFont="1" applyFill="1" applyBorder="1" applyAlignment="1" applyProtection="1">
      <alignment horizontal="center"/>
      <protection hidden="1"/>
    </xf>
    <xf numFmtId="166" fontId="16" fillId="34" borderId="36" xfId="0" applyNumberFormat="1" applyFont="1" applyFill="1" applyBorder="1" applyAlignment="1" applyProtection="1">
      <alignment horizontal="center"/>
      <protection hidden="1"/>
    </xf>
    <xf numFmtId="0" fontId="11" fillId="34" borderId="0" xfId="0" applyFont="1" applyFill="1" applyBorder="1" applyAlignment="1" applyProtection="1">
      <alignment horizontal="center"/>
      <protection hidden="1"/>
    </xf>
    <xf numFmtId="0" fontId="16" fillId="34" borderId="0" xfId="0" applyFont="1" applyFill="1" applyBorder="1" applyAlignment="1" applyProtection="1">
      <alignment horizontal="center"/>
      <protection hidden="1"/>
    </xf>
    <xf numFmtId="0" fontId="11" fillId="38" borderId="19" xfId="0" applyFont="1" applyFill="1" applyBorder="1" applyAlignment="1" applyProtection="1">
      <alignment horizontal="center"/>
      <protection locked="0"/>
    </xf>
    <xf numFmtId="14" fontId="21" fillId="38" borderId="0" xfId="0" applyNumberFormat="1" applyFont="1" applyFill="1" applyBorder="1" applyAlignment="1" applyProtection="1">
      <alignment horizontal="center"/>
      <protection locked="0"/>
    </xf>
    <xf numFmtId="0" fontId="13" fillId="34" borderId="0" xfId="0" applyFont="1" applyFill="1" applyBorder="1" applyAlignment="1" applyProtection="1">
      <alignment horizontal="center"/>
      <protection hidden="1"/>
    </xf>
    <xf numFmtId="166" fontId="0" fillId="34" borderId="78" xfId="0" applyNumberFormat="1" applyFont="1" applyFill="1" applyBorder="1" applyAlignment="1" applyProtection="1">
      <alignment horizontal="center"/>
      <protection hidden="1"/>
    </xf>
    <xf numFmtId="0" fontId="9" fillId="34" borderId="0" xfId="0" applyFont="1" applyFill="1" applyBorder="1" applyAlignment="1" applyProtection="1">
      <alignment horizontal="center"/>
      <protection hidden="1"/>
    </xf>
    <xf numFmtId="14" fontId="11" fillId="34" borderId="77" xfId="0" applyNumberFormat="1" applyFont="1" applyFill="1" applyBorder="1" applyAlignment="1" applyProtection="1">
      <alignment horizontal="center"/>
      <protection hidden="1"/>
    </xf>
    <xf numFmtId="14" fontId="11" fillId="34" borderId="41" xfId="0" applyNumberFormat="1" applyFont="1" applyFill="1" applyBorder="1" applyAlignment="1" applyProtection="1">
      <alignment horizontal="center"/>
      <protection hidden="1"/>
    </xf>
    <xf numFmtId="0" fontId="11" fillId="34" borderId="14" xfId="0" applyFont="1" applyFill="1" applyBorder="1" applyAlignment="1" applyProtection="1">
      <alignment horizontal="center"/>
      <protection hidden="1"/>
    </xf>
    <xf numFmtId="0" fontId="13" fillId="38" borderId="0" xfId="0" applyFont="1" applyFill="1" applyBorder="1" applyAlignment="1" applyProtection="1">
      <alignment horizontal="center"/>
      <protection locked="0"/>
    </xf>
    <xf numFmtId="0" fontId="11" fillId="34" borderId="16" xfId="0" applyFont="1" applyFill="1" applyBorder="1" applyAlignment="1" applyProtection="1">
      <alignment horizontal="center"/>
      <protection hidden="1"/>
    </xf>
    <xf numFmtId="0" fontId="11" fillId="34" borderId="48" xfId="0" applyFont="1" applyFill="1" applyBorder="1" applyAlignment="1" applyProtection="1">
      <alignment horizontal="center"/>
      <protection hidden="1"/>
    </xf>
    <xf numFmtId="0" fontId="16" fillId="34" borderId="44" xfId="0" applyFont="1" applyFill="1" applyBorder="1" applyAlignment="1" applyProtection="1">
      <alignment horizontal="center"/>
      <protection hidden="1"/>
    </xf>
    <xf numFmtId="0" fontId="16" fillId="34" borderId="34" xfId="0" applyFont="1" applyFill="1" applyBorder="1" applyAlignment="1" applyProtection="1">
      <alignment horizontal="center"/>
      <protection hidden="1"/>
    </xf>
    <xf numFmtId="0" fontId="16" fillId="38" borderId="63" xfId="0" applyFont="1" applyFill="1" applyBorder="1" applyAlignment="1" applyProtection="1">
      <alignment horizontal="center"/>
      <protection locked="0"/>
    </xf>
    <xf numFmtId="0" fontId="16" fillId="34" borderId="76" xfId="0" applyFont="1" applyFill="1" applyBorder="1" applyAlignment="1" applyProtection="1">
      <alignment horizontal="center"/>
      <protection hidden="1"/>
    </xf>
    <xf numFmtId="0" fontId="35" fillId="34" borderId="0" xfId="0" applyFont="1" applyFill="1" applyBorder="1" applyAlignment="1" applyProtection="1">
      <alignment horizontal="center"/>
      <protection hidden="1"/>
    </xf>
    <xf numFmtId="0" fontId="11" fillId="34" borderId="0" xfId="0" applyFont="1" applyFill="1" applyAlignment="1" applyProtection="1">
      <alignment horizontal="right"/>
      <protection hidden="1"/>
    </xf>
    <xf numFmtId="0" fontId="16" fillId="34" borderId="0" xfId="0" applyFont="1" applyFill="1" applyAlignment="1" applyProtection="1">
      <alignment horizontal="right"/>
      <protection hidden="1"/>
    </xf>
    <xf numFmtId="0" fontId="39" fillId="34" borderId="32" xfId="0" applyFont="1" applyFill="1" applyBorder="1" applyAlignment="1" applyProtection="1">
      <alignment/>
      <protection hidden="1"/>
    </xf>
    <xf numFmtId="0" fontId="39" fillId="38" borderId="79" xfId="0" applyFont="1" applyFill="1" applyBorder="1" applyAlignment="1" applyProtection="1">
      <alignment horizontal="left"/>
      <protection locked="0"/>
    </xf>
    <xf numFmtId="0" fontId="39" fillId="38" borderId="32" xfId="0" applyFont="1" applyFill="1" applyBorder="1" applyAlignment="1" applyProtection="1">
      <alignment horizontal="left"/>
      <protection locked="0"/>
    </xf>
    <xf numFmtId="0" fontId="39" fillId="38" borderId="33" xfId="0" applyFont="1" applyFill="1" applyBorder="1" applyAlignment="1" applyProtection="1">
      <alignment horizontal="left"/>
      <protection locked="0"/>
    </xf>
    <xf numFmtId="0" fontId="0" fillId="0" borderId="17" xfId="0" applyBorder="1" applyAlignment="1">
      <alignment horizontal="left"/>
    </xf>
    <xf numFmtId="0" fontId="0" fillId="0" borderId="19" xfId="0" applyBorder="1" applyAlignment="1">
      <alignment horizontal="left"/>
    </xf>
    <xf numFmtId="0" fontId="0" fillId="0" borderId="36" xfId="0" applyBorder="1" applyAlignment="1">
      <alignment horizontal="left"/>
    </xf>
    <xf numFmtId="166" fontId="19" fillId="34" borderId="66" xfId="0" applyNumberFormat="1" applyFont="1" applyFill="1" applyBorder="1" applyAlignment="1" applyProtection="1">
      <alignment horizontal="center" vertical="center"/>
      <protection hidden="1"/>
    </xf>
    <xf numFmtId="0" fontId="19" fillId="0" borderId="61" xfId="0" applyFont="1" applyBorder="1" applyAlignment="1">
      <alignment horizontal="center" vertical="center"/>
    </xf>
    <xf numFmtId="0" fontId="0" fillId="0" borderId="66" xfId="0"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44" fillId="34" borderId="0" xfId="0" applyFont="1" applyFill="1" applyBorder="1" applyAlignment="1" applyProtection="1">
      <alignment horizontal="center"/>
      <protection hidden="1"/>
    </xf>
    <xf numFmtId="0" fontId="44" fillId="34" borderId="14" xfId="0" applyFont="1" applyFill="1" applyBorder="1" applyAlignment="1" applyProtection="1">
      <alignment horizontal="center"/>
      <protection hidden="1"/>
    </xf>
    <xf numFmtId="0" fontId="30" fillId="34" borderId="13" xfId="0" applyFont="1" applyFill="1" applyBorder="1" applyAlignment="1" applyProtection="1">
      <alignment horizontal="center"/>
      <protection hidden="1"/>
    </xf>
    <xf numFmtId="0" fontId="30" fillId="34" borderId="0" xfId="0" applyFont="1" applyFill="1" applyBorder="1" applyAlignment="1" applyProtection="1">
      <alignment horizontal="center"/>
      <protection hidden="1"/>
    </xf>
    <xf numFmtId="0" fontId="30" fillId="34" borderId="14" xfId="0" applyFont="1" applyFill="1" applyBorder="1" applyAlignment="1" applyProtection="1">
      <alignment horizontal="center"/>
      <protection hidden="1"/>
    </xf>
    <xf numFmtId="1" fontId="8" fillId="0" borderId="0" xfId="0" applyNumberFormat="1" applyFont="1" applyFill="1" applyBorder="1" applyAlignment="1" applyProtection="1">
      <alignment horizontal="center"/>
      <protection hidden="1"/>
    </xf>
    <xf numFmtId="0" fontId="0" fillId="0" borderId="0" xfId="0" applyAlignment="1">
      <alignment horizontal="center"/>
    </xf>
    <xf numFmtId="0" fontId="8" fillId="0" borderId="0" xfId="0" applyFont="1" applyAlignment="1">
      <alignment horizontal="center"/>
    </xf>
    <xf numFmtId="1" fontId="11" fillId="34" borderId="66" xfId="0" applyNumberFormat="1" applyFont="1" applyFill="1" applyBorder="1" applyAlignment="1" applyProtection="1">
      <alignment horizontal="center" vertical="center"/>
      <protection hidden="1"/>
    </xf>
    <xf numFmtId="0" fontId="3" fillId="34" borderId="0" xfId="0" applyFont="1" applyFill="1" applyBorder="1" applyAlignment="1" applyProtection="1">
      <alignment horizontal="center"/>
      <protection/>
    </xf>
    <xf numFmtId="0" fontId="10" fillId="35" borderId="0" xfId="0" applyFont="1" applyFill="1" applyBorder="1" applyAlignment="1" applyProtection="1">
      <alignment horizontal="center"/>
      <protection locked="0"/>
    </xf>
    <xf numFmtId="14" fontId="7" fillId="35" borderId="0" xfId="0" applyNumberFormat="1" applyFont="1" applyFill="1" applyBorder="1" applyAlignment="1" applyProtection="1">
      <alignment horizontal="center"/>
      <protection locked="0"/>
    </xf>
    <xf numFmtId="0" fontId="11" fillId="34" borderId="0" xfId="0" applyFont="1" applyFill="1" applyBorder="1" applyAlignment="1" applyProtection="1">
      <alignment horizontal="center"/>
      <protection/>
    </xf>
    <xf numFmtId="0" fontId="11" fillId="35" borderId="0" xfId="0" applyFont="1" applyFill="1" applyBorder="1" applyAlignment="1" applyProtection="1">
      <alignment horizontal="center"/>
      <protection locked="0"/>
    </xf>
    <xf numFmtId="14" fontId="11" fillId="34" borderId="77" xfId="0" applyNumberFormat="1" applyFont="1" applyFill="1" applyBorder="1" applyAlignment="1" applyProtection="1">
      <alignment horizontal="center"/>
      <protection/>
    </xf>
    <xf numFmtId="14" fontId="11" fillId="34" borderId="41" xfId="0" applyNumberFormat="1" applyFont="1" applyFill="1" applyBorder="1" applyAlignment="1" applyProtection="1">
      <alignment horizontal="center"/>
      <protection/>
    </xf>
    <xf numFmtId="0" fontId="11" fillId="34" borderId="77" xfId="0" applyFont="1" applyFill="1" applyBorder="1" applyAlignment="1" applyProtection="1">
      <alignment horizontal="center"/>
      <protection/>
    </xf>
    <xf numFmtId="0" fontId="11" fillId="34" borderId="41" xfId="0" applyFont="1" applyFill="1" applyBorder="1" applyAlignment="1" applyProtection="1">
      <alignment horizontal="center"/>
      <protection/>
    </xf>
    <xf numFmtId="14" fontId="11" fillId="34" borderId="79" xfId="0" applyNumberFormat="1" applyFont="1" applyFill="1" applyBorder="1" applyAlignment="1" applyProtection="1">
      <alignment horizontal="center"/>
      <protection/>
    </xf>
    <xf numFmtId="14" fontId="11" fillId="34" borderId="33" xfId="0" applyNumberFormat="1" applyFont="1" applyFill="1" applyBorder="1" applyAlignment="1" applyProtection="1">
      <alignment horizontal="center"/>
      <protection/>
    </xf>
    <xf numFmtId="0" fontId="11" fillId="34" borderId="17" xfId="0" applyFont="1" applyFill="1" applyBorder="1" applyAlignment="1" applyProtection="1">
      <alignment horizontal="center"/>
      <protection/>
    </xf>
    <xf numFmtId="0" fontId="11" fillId="34" borderId="36" xfId="0" applyFont="1" applyFill="1" applyBorder="1" applyAlignment="1" applyProtection="1">
      <alignment horizontal="center"/>
      <protection/>
    </xf>
    <xf numFmtId="0" fontId="11" fillId="34" borderId="16" xfId="0" applyFont="1" applyFill="1" applyBorder="1" applyAlignment="1" applyProtection="1">
      <alignment horizontal="center"/>
      <protection/>
    </xf>
    <xf numFmtId="166" fontId="0" fillId="34" borderId="0" xfId="0" applyNumberFormat="1" applyFont="1" applyFill="1" applyBorder="1" applyAlignment="1" applyProtection="1">
      <alignment horizontal="center"/>
      <protection/>
    </xf>
    <xf numFmtId="166" fontId="0" fillId="34" borderId="16" xfId="0" applyNumberFormat="1" applyFont="1" applyFill="1" applyBorder="1" applyAlignment="1" applyProtection="1">
      <alignment horizontal="center"/>
      <protection/>
    </xf>
    <xf numFmtId="0" fontId="11" fillId="34" borderId="44" xfId="0" applyFont="1" applyFill="1" applyBorder="1" applyAlignment="1" applyProtection="1">
      <alignment horizontal="center"/>
      <protection/>
    </xf>
    <xf numFmtId="0" fontId="11" fillId="34" borderId="34" xfId="0" applyFont="1" applyFill="1" applyBorder="1" applyAlignment="1" applyProtection="1">
      <alignment horizontal="center"/>
      <protection/>
    </xf>
    <xf numFmtId="0" fontId="20" fillId="34" borderId="13" xfId="0" applyFont="1" applyFill="1" applyBorder="1" applyAlignment="1" applyProtection="1">
      <alignment horizontal="center"/>
      <protection/>
    </xf>
    <xf numFmtId="0" fontId="20" fillId="34" borderId="0" xfId="0" applyFont="1" applyFill="1" applyBorder="1" applyAlignment="1" applyProtection="1">
      <alignment horizontal="center"/>
      <protection/>
    </xf>
    <xf numFmtId="0" fontId="20" fillId="34" borderId="14" xfId="0" applyFont="1" applyFill="1" applyBorder="1" applyAlignment="1" applyProtection="1">
      <alignment horizontal="center"/>
      <protection/>
    </xf>
    <xf numFmtId="166" fontId="16" fillId="34" borderId="19" xfId="0" applyNumberFormat="1" applyFont="1" applyFill="1" applyBorder="1" applyAlignment="1" applyProtection="1">
      <alignment horizontal="center"/>
      <protection/>
    </xf>
    <xf numFmtId="166" fontId="16" fillId="34" borderId="36" xfId="0" applyNumberFormat="1" applyFont="1" applyFill="1" applyBorder="1" applyAlignment="1" applyProtection="1">
      <alignment horizontal="center"/>
      <protection/>
    </xf>
    <xf numFmtId="166" fontId="21" fillId="34" borderId="40" xfId="0" applyNumberFormat="1" applyFont="1" applyFill="1" applyBorder="1" applyAlignment="1" applyProtection="1">
      <alignment horizontal="center"/>
      <protection/>
    </xf>
    <xf numFmtId="166" fontId="21" fillId="34" borderId="37" xfId="0" applyNumberFormat="1" applyFont="1" applyFill="1" applyBorder="1" applyAlignment="1" applyProtection="1">
      <alignment horizontal="center"/>
      <protection/>
    </xf>
    <xf numFmtId="0" fontId="11" fillId="35" borderId="19" xfId="0" applyFont="1" applyFill="1" applyBorder="1" applyAlignment="1" applyProtection="1">
      <alignment horizontal="center"/>
      <protection locked="0"/>
    </xf>
    <xf numFmtId="0" fontId="11" fillId="35" borderId="79" xfId="0" applyFont="1" applyFill="1" applyBorder="1" applyAlignment="1" applyProtection="1">
      <alignment horizontal="center"/>
      <protection locked="0"/>
    </xf>
    <xf numFmtId="0" fontId="11" fillId="35" borderId="32" xfId="0" applyFont="1" applyFill="1" applyBorder="1" applyAlignment="1" applyProtection="1">
      <alignment horizontal="center"/>
      <protection locked="0"/>
    </xf>
    <xf numFmtId="0" fontId="11" fillId="35" borderId="33" xfId="0" applyFont="1" applyFill="1" applyBorder="1" applyAlignment="1" applyProtection="1">
      <alignment horizontal="center"/>
      <protection locked="0"/>
    </xf>
    <xf numFmtId="0" fontId="8" fillId="35" borderId="17" xfId="0" applyFont="1" applyFill="1" applyBorder="1" applyAlignment="1" applyProtection="1">
      <alignment horizontal="center"/>
      <protection locked="0"/>
    </xf>
    <xf numFmtId="0" fontId="8" fillId="35" borderId="19" xfId="0" applyFont="1" applyFill="1" applyBorder="1" applyAlignment="1" applyProtection="1">
      <alignment horizontal="center"/>
      <protection locked="0"/>
    </xf>
    <xf numFmtId="0" fontId="8" fillId="35" borderId="36" xfId="0" applyFont="1" applyFill="1" applyBorder="1" applyAlignment="1" applyProtection="1">
      <alignment horizontal="center"/>
      <protection locked="0"/>
    </xf>
    <xf numFmtId="0" fontId="11" fillId="35" borderId="80" xfId="0" applyFont="1" applyFill="1" applyBorder="1" applyAlignment="1" applyProtection="1">
      <alignment horizontal="center"/>
      <protection locked="0"/>
    </xf>
    <xf numFmtId="0" fontId="31" fillId="34" borderId="0" xfId="0" applyFont="1" applyFill="1" applyBorder="1" applyAlignment="1" applyProtection="1">
      <alignment horizontal="center"/>
      <protection/>
    </xf>
    <xf numFmtId="0" fontId="9" fillId="34" borderId="0" xfId="0" applyFont="1" applyFill="1" applyBorder="1" applyAlignment="1" applyProtection="1">
      <alignment horizontal="center"/>
      <protection/>
    </xf>
    <xf numFmtId="14" fontId="29" fillId="35" borderId="0" xfId="0" applyNumberFormat="1" applyFont="1" applyFill="1" applyBorder="1" applyAlignment="1" applyProtection="1">
      <alignment horizontal="center"/>
      <protection locked="0"/>
    </xf>
    <xf numFmtId="0" fontId="0" fillId="34" borderId="0" xfId="0" applyFont="1" applyFill="1" applyBorder="1" applyAlignment="1" applyProtection="1">
      <alignment horizontal="center"/>
      <protection/>
    </xf>
    <xf numFmtId="0" fontId="0" fillId="35" borderId="0" xfId="0" applyFont="1" applyFill="1" applyBorder="1" applyAlignment="1" applyProtection="1">
      <alignment horizontal="center"/>
      <protection locked="0"/>
    </xf>
    <xf numFmtId="0" fontId="11" fillId="34" borderId="14" xfId="0" applyFont="1" applyFill="1" applyBorder="1" applyAlignment="1" applyProtection="1">
      <alignment horizontal="center"/>
      <protection/>
    </xf>
    <xf numFmtId="0" fontId="11" fillId="34" borderId="48" xfId="0" applyFont="1" applyFill="1" applyBorder="1" applyAlignment="1" applyProtection="1">
      <alignment horizontal="center"/>
      <protection/>
    </xf>
    <xf numFmtId="166" fontId="0" fillId="34" borderId="14" xfId="0" applyNumberFormat="1" applyFont="1" applyFill="1" applyBorder="1" applyAlignment="1" applyProtection="1">
      <alignment horizontal="center"/>
      <protection/>
    </xf>
    <xf numFmtId="166" fontId="0" fillId="34" borderId="48" xfId="0" applyNumberFormat="1" applyFont="1" applyFill="1" applyBorder="1" applyAlignment="1" applyProtection="1">
      <alignment horizontal="center"/>
      <protection/>
    </xf>
    <xf numFmtId="0" fontId="16" fillId="34" borderId="44" xfId="0" applyFont="1" applyFill="1" applyBorder="1" applyAlignment="1" applyProtection="1">
      <alignment horizontal="center"/>
      <protection/>
    </xf>
    <xf numFmtId="0" fontId="16" fillId="34" borderId="0" xfId="0" applyFont="1" applyFill="1" applyBorder="1" applyAlignment="1" applyProtection="1">
      <alignment horizontal="center"/>
      <protection/>
    </xf>
    <xf numFmtId="0" fontId="16" fillId="34" borderId="34" xfId="0" applyFont="1" applyFill="1" applyBorder="1" applyAlignment="1" applyProtection="1">
      <alignment horizontal="center"/>
      <protection/>
    </xf>
    <xf numFmtId="0" fontId="30" fillId="34" borderId="13" xfId="0" applyFont="1" applyFill="1" applyBorder="1" applyAlignment="1" applyProtection="1">
      <alignment horizontal="center"/>
      <protection/>
    </xf>
    <xf numFmtId="0" fontId="30" fillId="34" borderId="0" xfId="0" applyFont="1" applyFill="1" applyBorder="1" applyAlignment="1" applyProtection="1">
      <alignment horizontal="center"/>
      <protection/>
    </xf>
    <xf numFmtId="0" fontId="30" fillId="34" borderId="14" xfId="0" applyFont="1" applyFill="1" applyBorder="1" applyAlignment="1" applyProtection="1">
      <alignment horizontal="center"/>
      <protection/>
    </xf>
    <xf numFmtId="166" fontId="13" fillId="34" borderId="40" xfId="0" applyNumberFormat="1" applyFont="1" applyFill="1" applyBorder="1" applyAlignment="1" applyProtection="1">
      <alignment horizontal="center"/>
      <protection/>
    </xf>
    <xf numFmtId="166" fontId="13" fillId="34" borderId="37" xfId="0" applyNumberFormat="1" applyFont="1" applyFill="1" applyBorder="1" applyAlignment="1" applyProtection="1">
      <alignment horizontal="center"/>
      <protection/>
    </xf>
    <xf numFmtId="0" fontId="16" fillId="35" borderId="63" xfId="0" applyFont="1" applyFill="1" applyBorder="1" applyAlignment="1" applyProtection="1">
      <alignment horizontal="center"/>
      <protection/>
    </xf>
    <xf numFmtId="0" fontId="11" fillId="35" borderId="19" xfId="0" applyFont="1" applyFill="1" applyBorder="1" applyAlignment="1" applyProtection="1">
      <alignment horizontal="center"/>
      <protection/>
    </xf>
    <xf numFmtId="0" fontId="16" fillId="34" borderId="76" xfId="0" applyFont="1" applyFill="1" applyBorder="1" applyAlignment="1" applyProtection="1">
      <alignment horizontal="center"/>
      <protection/>
    </xf>
    <xf numFmtId="0" fontId="16" fillId="35" borderId="79" xfId="0" applyFont="1" applyFill="1" applyBorder="1" applyAlignment="1" applyProtection="1">
      <alignment horizontal="center"/>
      <protection locked="0"/>
    </xf>
    <xf numFmtId="0" fontId="16" fillId="35" borderId="32" xfId="0" applyFont="1" applyFill="1" applyBorder="1" applyAlignment="1" applyProtection="1">
      <alignment horizontal="center"/>
      <protection locked="0"/>
    </xf>
    <xf numFmtId="0" fontId="16" fillId="35" borderId="33" xfId="0" applyFont="1" applyFill="1" applyBorder="1" applyAlignment="1" applyProtection="1">
      <alignment horizontal="center"/>
      <protection locked="0"/>
    </xf>
    <xf numFmtId="0" fontId="16" fillId="35" borderId="19" xfId="0" applyFont="1" applyFill="1" applyBorder="1" applyAlignment="1" applyProtection="1">
      <alignment horizontal="center"/>
      <protection locked="0"/>
    </xf>
    <xf numFmtId="0" fontId="16" fillId="35" borderId="17" xfId="0" applyFont="1" applyFill="1" applyBorder="1" applyAlignment="1" applyProtection="1">
      <alignment horizontal="center"/>
      <protection locked="0"/>
    </xf>
    <xf numFmtId="0" fontId="16" fillId="35" borderId="36" xfId="0" applyFont="1" applyFill="1" applyBorder="1" applyAlignment="1" applyProtection="1">
      <alignment horizontal="center"/>
      <protection locked="0"/>
    </xf>
    <xf numFmtId="0" fontId="11" fillId="38" borderId="80" xfId="0" applyFont="1" applyFill="1" applyBorder="1" applyAlignment="1" applyProtection="1">
      <alignment horizontal="center"/>
      <protection locked="0"/>
    </xf>
    <xf numFmtId="0" fontId="16" fillId="33" borderId="0" xfId="0" applyFont="1" applyFill="1" applyAlignment="1" applyProtection="1">
      <alignment horizontal="right"/>
      <protection hidden="1"/>
    </xf>
    <xf numFmtId="164" fontId="16" fillId="34" borderId="66" xfId="0" applyNumberFormat="1" applyFont="1" applyFill="1" applyBorder="1" applyAlignment="1" applyProtection="1">
      <alignment horizontal="center" vertical="center"/>
      <protection hidden="1"/>
    </xf>
    <xf numFmtId="0" fontId="8" fillId="0" borderId="0" xfId="0" applyFont="1" applyBorder="1" applyAlignment="1">
      <alignment horizontal="center"/>
    </xf>
    <xf numFmtId="164" fontId="0" fillId="38" borderId="32" xfId="0" applyNumberFormat="1" applyFont="1" applyFill="1" applyBorder="1" applyAlignment="1" applyProtection="1">
      <alignment horizontal="right" vertical="center"/>
      <protection locked="0"/>
    </xf>
    <xf numFmtId="0" fontId="0" fillId="38" borderId="32" xfId="0" applyFill="1" applyBorder="1" applyAlignment="1">
      <alignment vertical="center"/>
    </xf>
    <xf numFmtId="0" fontId="33" fillId="34" borderId="13" xfId="0" applyFont="1" applyFill="1" applyBorder="1" applyAlignment="1" applyProtection="1">
      <alignment horizontal="center"/>
      <protection hidden="1"/>
    </xf>
    <xf numFmtId="0" fontId="33" fillId="34" borderId="0" xfId="0" applyFont="1" applyFill="1" applyBorder="1" applyAlignment="1" applyProtection="1">
      <alignment horizontal="center"/>
      <protection hidden="1"/>
    </xf>
    <xf numFmtId="0" fontId="33" fillId="34" borderId="14" xfId="0" applyFont="1" applyFill="1" applyBorder="1" applyAlignment="1" applyProtection="1">
      <alignment horizontal="center"/>
      <protection hidden="1"/>
    </xf>
    <xf numFmtId="0" fontId="36" fillId="34" borderId="13" xfId="0" applyFont="1" applyFill="1" applyBorder="1" applyAlignment="1" applyProtection="1">
      <alignment horizontal="center"/>
      <protection hidden="1"/>
    </xf>
    <xf numFmtId="0" fontId="36" fillId="34" borderId="0" xfId="0" applyFont="1" applyFill="1" applyBorder="1" applyAlignment="1" applyProtection="1">
      <alignment horizontal="center"/>
      <protection hidden="1"/>
    </xf>
    <xf numFmtId="0" fontId="36" fillId="34" borderId="14" xfId="0" applyFont="1" applyFill="1" applyBorder="1" applyAlignment="1" applyProtection="1">
      <alignment horizontal="center"/>
      <protection hidden="1"/>
    </xf>
    <xf numFmtId="0" fontId="2" fillId="34" borderId="13" xfId="0" applyFont="1" applyFill="1" applyBorder="1" applyAlignment="1" applyProtection="1">
      <alignment horizontal="center"/>
      <protection hidden="1"/>
    </xf>
    <xf numFmtId="0" fontId="2" fillId="34" borderId="0" xfId="0" applyFont="1" applyFill="1" applyBorder="1" applyAlignment="1" applyProtection="1">
      <alignment horizontal="center"/>
      <protection hidden="1"/>
    </xf>
    <xf numFmtId="0" fontId="2" fillId="34" borderId="14" xfId="0" applyFont="1" applyFill="1" applyBorder="1" applyAlignment="1" applyProtection="1">
      <alignment horizontal="center"/>
      <protection hidden="1"/>
    </xf>
    <xf numFmtId="164" fontId="16" fillId="34" borderId="0" xfId="0" applyNumberFormat="1" applyFont="1" applyFill="1" applyBorder="1" applyAlignment="1" applyProtection="1">
      <alignment horizontal="center"/>
      <protection hidden="1"/>
    </xf>
    <xf numFmtId="164" fontId="16" fillId="34" borderId="32" xfId="0" applyNumberFormat="1" applyFont="1" applyFill="1" applyBorder="1" applyAlignment="1" applyProtection="1">
      <alignment horizontal="center"/>
      <protection hidden="1"/>
    </xf>
    <xf numFmtId="166" fontId="0" fillId="34" borderId="76" xfId="0" applyNumberFormat="1" applyFont="1" applyFill="1" applyBorder="1" applyAlignment="1" applyProtection="1">
      <alignment horizontal="center"/>
      <protection hidden="1"/>
    </xf>
    <xf numFmtId="0" fontId="11" fillId="34" borderId="0" xfId="0" applyFont="1" applyFill="1" applyBorder="1" applyAlignment="1" applyProtection="1">
      <alignment horizontal="right"/>
      <protection hidden="1"/>
    </xf>
    <xf numFmtId="0" fontId="16" fillId="34" borderId="0" xfId="0" applyFont="1" applyFill="1" applyBorder="1" applyAlignment="1" applyProtection="1">
      <alignment horizontal="right"/>
      <protection hidden="1"/>
    </xf>
    <xf numFmtId="0" fontId="7" fillId="33" borderId="0" xfId="0" applyFont="1" applyFill="1" applyBorder="1" applyAlignment="1" applyProtection="1">
      <alignment horizontal="center"/>
      <protection locked="0"/>
    </xf>
    <xf numFmtId="0" fontId="30" fillId="33" borderId="0" xfId="0" applyFont="1" applyFill="1" applyBorder="1" applyAlignment="1" applyProtection="1">
      <alignment horizontal="center"/>
      <protection hidden="1"/>
    </xf>
    <xf numFmtId="0" fontId="45" fillId="34" borderId="11" xfId="0" applyFont="1" applyFill="1" applyBorder="1" applyAlignment="1" applyProtection="1">
      <alignment horizontal="center"/>
      <protection/>
    </xf>
    <xf numFmtId="0" fontId="45" fillId="34" borderId="12" xfId="0" applyFont="1" applyFill="1" applyBorder="1" applyAlignment="1" applyProtection="1">
      <alignment horizontal="center"/>
      <protection/>
    </xf>
    <xf numFmtId="0" fontId="21" fillId="34" borderId="32" xfId="0" applyFont="1" applyFill="1" applyBorder="1" applyAlignment="1" applyProtection="1">
      <alignment horizontal="center"/>
      <protection hidden="1"/>
    </xf>
    <xf numFmtId="0" fontId="7" fillId="38" borderId="79" xfId="0" applyFont="1" applyFill="1" applyBorder="1" applyAlignment="1" applyProtection="1">
      <alignment/>
      <protection locked="0"/>
    </xf>
    <xf numFmtId="0" fontId="7" fillId="38" borderId="32" xfId="0" applyFont="1" applyFill="1" applyBorder="1" applyAlignment="1" applyProtection="1">
      <alignment/>
      <protection locked="0"/>
    </xf>
    <xf numFmtId="0" fontId="7" fillId="38" borderId="33" xfId="0" applyFont="1" applyFill="1" applyBorder="1" applyAlignment="1" applyProtection="1">
      <alignment/>
      <protection locked="0"/>
    </xf>
    <xf numFmtId="0" fontId="0" fillId="0" borderId="44" xfId="0" applyBorder="1" applyAlignment="1">
      <alignment/>
    </xf>
    <xf numFmtId="0" fontId="0" fillId="0" borderId="0" xfId="0" applyBorder="1" applyAlignment="1">
      <alignment/>
    </xf>
    <xf numFmtId="0" fontId="0" fillId="0" borderId="34" xfId="0" applyBorder="1" applyAlignment="1">
      <alignment/>
    </xf>
    <xf numFmtId="0" fontId="0" fillId="0" borderId="17" xfId="0" applyBorder="1" applyAlignment="1">
      <alignment/>
    </xf>
    <xf numFmtId="0" fontId="0" fillId="0" borderId="19" xfId="0" applyBorder="1" applyAlignment="1">
      <alignment/>
    </xf>
    <xf numFmtId="0" fontId="0" fillId="0" borderId="36" xfId="0" applyBorder="1" applyAlignment="1">
      <alignment/>
    </xf>
    <xf numFmtId="0" fontId="39" fillId="34" borderId="44" xfId="0" applyFont="1" applyFill="1" applyBorder="1" applyAlignment="1" applyProtection="1">
      <alignment horizontal="center"/>
      <protection hidden="1"/>
    </xf>
    <xf numFmtId="0" fontId="39" fillId="34" borderId="0" xfId="0" applyFont="1" applyFill="1" applyBorder="1" applyAlignment="1" applyProtection="1">
      <alignment horizontal="center"/>
      <protection hidden="1"/>
    </xf>
    <xf numFmtId="0" fontId="21" fillId="34" borderId="0" xfId="0" applyFont="1" applyFill="1" applyBorder="1" applyAlignment="1" applyProtection="1">
      <alignment horizontal="center"/>
      <protection hidden="1"/>
    </xf>
    <xf numFmtId="14" fontId="39" fillId="34" borderId="77" xfId="0" applyNumberFormat="1" applyFont="1" applyFill="1" applyBorder="1" applyAlignment="1" applyProtection="1">
      <alignment horizontal="center"/>
      <protection hidden="1"/>
    </xf>
    <xf numFmtId="14" fontId="39" fillId="34" borderId="41" xfId="0" applyNumberFormat="1" applyFont="1" applyFill="1" applyBorder="1" applyAlignment="1" applyProtection="1">
      <alignment horizontal="center"/>
      <protection hidden="1"/>
    </xf>
    <xf numFmtId="0" fontId="39" fillId="34" borderId="77" xfId="0" applyFont="1" applyFill="1" applyBorder="1" applyAlignment="1" applyProtection="1">
      <alignment horizontal="center"/>
      <protection hidden="1"/>
    </xf>
    <xf numFmtId="0" fontId="39" fillId="34" borderId="41" xfId="0" applyFont="1" applyFill="1" applyBorder="1" applyAlignment="1" applyProtection="1">
      <alignment horizontal="center"/>
      <protection hidden="1"/>
    </xf>
    <xf numFmtId="0" fontId="12" fillId="34" borderId="0" xfId="0" applyFont="1" applyFill="1" applyBorder="1" applyAlignment="1" applyProtection="1">
      <alignment horizontal="center"/>
      <protection hidden="1"/>
    </xf>
    <xf numFmtId="0" fontId="39" fillId="34" borderId="16" xfId="0" applyFont="1" applyFill="1" applyBorder="1" applyAlignment="1" applyProtection="1">
      <alignment horizontal="center"/>
      <protection hidden="1"/>
    </xf>
    <xf numFmtId="166" fontId="39" fillId="34" borderId="0" xfId="0" applyNumberFormat="1" applyFont="1" applyFill="1" applyBorder="1" applyAlignment="1" applyProtection="1">
      <alignment horizontal="center"/>
      <protection hidden="1"/>
    </xf>
    <xf numFmtId="166" fontId="39" fillId="34" borderId="16" xfId="0" applyNumberFormat="1" applyFont="1" applyFill="1" applyBorder="1" applyAlignment="1" applyProtection="1">
      <alignment horizontal="center"/>
      <protection hidden="1"/>
    </xf>
    <xf numFmtId="1" fontId="13" fillId="34" borderId="0" xfId="0" applyNumberFormat="1" applyFont="1" applyFill="1" applyBorder="1" applyAlignment="1" applyProtection="1">
      <alignment horizontal="center"/>
      <protection hidden="1"/>
    </xf>
    <xf numFmtId="166" fontId="39" fillId="34" borderId="40" xfId="0" applyNumberFormat="1" applyFont="1" applyFill="1" applyBorder="1" applyAlignment="1" applyProtection="1">
      <alignment horizontal="center"/>
      <protection hidden="1"/>
    </xf>
    <xf numFmtId="166" fontId="39" fillId="33" borderId="0" xfId="0" applyNumberFormat="1" applyFont="1" applyFill="1" applyBorder="1" applyAlignment="1" applyProtection="1">
      <alignment horizontal="center"/>
      <protection hidden="1"/>
    </xf>
    <xf numFmtId="0" fontId="35" fillId="33" borderId="0" xfId="0" applyFont="1" applyFill="1" applyBorder="1" applyAlignment="1" applyProtection="1">
      <alignment horizontal="center"/>
      <protection hidden="1"/>
    </xf>
    <xf numFmtId="0" fontId="39" fillId="33" borderId="0" xfId="0" applyFont="1" applyFill="1" applyBorder="1" applyAlignment="1" applyProtection="1">
      <alignment horizontal="center"/>
      <protection hidden="1"/>
    </xf>
    <xf numFmtId="164" fontId="39" fillId="33" borderId="0" xfId="0" applyNumberFormat="1" applyFont="1" applyFill="1" applyBorder="1" applyAlignment="1" applyProtection="1">
      <alignment horizontal="center"/>
      <protection hidden="1"/>
    </xf>
    <xf numFmtId="0" fontId="2" fillId="33" borderId="0" xfId="0" applyFont="1" applyFill="1" applyBorder="1" applyAlignment="1" applyProtection="1">
      <alignment horizontal="center"/>
      <protection hidden="1"/>
    </xf>
    <xf numFmtId="0" fontId="9" fillId="33" borderId="0" xfId="0" applyFont="1" applyFill="1" applyBorder="1" applyAlignment="1" applyProtection="1">
      <alignment horizontal="center"/>
      <protection hidden="1"/>
    </xf>
    <xf numFmtId="166" fontId="8" fillId="33" borderId="0" xfId="0" applyNumberFormat="1" applyFont="1" applyFill="1" applyBorder="1" applyAlignment="1" applyProtection="1">
      <alignment horizontal="center"/>
      <protection hidden="1"/>
    </xf>
    <xf numFmtId="14" fontId="39" fillId="34" borderId="17" xfId="0" applyNumberFormat="1" applyFont="1" applyFill="1" applyBorder="1" applyAlignment="1" applyProtection="1">
      <alignment horizontal="center"/>
      <protection hidden="1"/>
    </xf>
    <xf numFmtId="14" fontId="39" fillId="34" borderId="36" xfId="0" applyNumberFormat="1" applyFont="1" applyFill="1" applyBorder="1" applyAlignment="1" applyProtection="1">
      <alignment horizontal="center"/>
      <protection hidden="1"/>
    </xf>
    <xf numFmtId="0" fontId="39" fillId="34" borderId="79" xfId="0" applyFont="1" applyFill="1" applyBorder="1" applyAlignment="1" applyProtection="1">
      <alignment horizontal="center"/>
      <protection hidden="1"/>
    </xf>
    <xf numFmtId="0" fontId="39" fillId="34" borderId="33" xfId="0" applyFont="1" applyFill="1" applyBorder="1" applyAlignment="1" applyProtection="1">
      <alignment horizontal="center"/>
      <protection hidden="1"/>
    </xf>
    <xf numFmtId="0" fontId="9" fillId="34" borderId="0" xfId="0" applyFont="1" applyFill="1" applyAlignment="1">
      <alignment horizontal="center"/>
    </xf>
    <xf numFmtId="0" fontId="29" fillId="0" borderId="0" xfId="0" applyFont="1" applyFill="1" applyAlignment="1">
      <alignment wrapText="1"/>
    </xf>
    <xf numFmtId="0" fontId="0" fillId="0" borderId="0" xfId="0" applyAlignment="1">
      <alignment/>
    </xf>
    <xf numFmtId="0" fontId="29" fillId="0" borderId="10" xfId="0" applyFont="1" applyFill="1" applyBorder="1" applyAlignment="1">
      <alignment horizontal="left" vertical="top" wrapText="1" indent="2"/>
    </xf>
    <xf numFmtId="0" fontId="29" fillId="0" borderId="11" xfId="0" applyFont="1" applyFill="1" applyBorder="1" applyAlignment="1">
      <alignment horizontal="left" vertical="top" indent="2"/>
    </xf>
    <xf numFmtId="0" fontId="29" fillId="0" borderId="12" xfId="0" applyFont="1" applyFill="1" applyBorder="1" applyAlignment="1">
      <alignment horizontal="left" vertical="top" indent="2"/>
    </xf>
    <xf numFmtId="0" fontId="29" fillId="0" borderId="13" xfId="0" applyFont="1" applyFill="1" applyBorder="1" applyAlignment="1">
      <alignment horizontal="left" vertical="top" indent="2"/>
    </xf>
    <xf numFmtId="0" fontId="29" fillId="0" borderId="0" xfId="0" applyFont="1" applyFill="1" applyBorder="1" applyAlignment="1">
      <alignment horizontal="left" vertical="top" indent="2"/>
    </xf>
    <xf numFmtId="0" fontId="29" fillId="0" borderId="14" xfId="0" applyFont="1" applyFill="1" applyBorder="1" applyAlignment="1">
      <alignment horizontal="left" vertical="top" indent="2"/>
    </xf>
    <xf numFmtId="0" fontId="29" fillId="0" borderId="18" xfId="0" applyFont="1" applyFill="1" applyBorder="1" applyAlignment="1">
      <alignment horizontal="left" vertical="top" indent="2"/>
    </xf>
    <xf numFmtId="0" fontId="29" fillId="0" borderId="40" xfId="0" applyFont="1" applyFill="1" applyBorder="1" applyAlignment="1">
      <alignment horizontal="left" vertical="top" indent="2"/>
    </xf>
    <xf numFmtId="0" fontId="29" fillId="0" borderId="37" xfId="0" applyFont="1" applyFill="1" applyBorder="1" applyAlignment="1">
      <alignment horizontal="left" vertical="top" indent="2"/>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8">
    <dxf>
      <font>
        <color indexed="9"/>
      </font>
    </dxf>
    <dxf>
      <font>
        <color indexed="9"/>
      </font>
    </dxf>
    <dxf>
      <font>
        <color indexed="9"/>
      </font>
    </dxf>
    <dxf>
      <font>
        <color indexed="9"/>
      </font>
    </dxf>
    <dxf>
      <font>
        <color indexed="9"/>
      </font>
    </dxf>
    <dxf>
      <font>
        <color indexed="9"/>
      </font>
    </dxf>
    <dxf>
      <font>
        <color indexed="8"/>
      </font>
      <fill>
        <patternFill>
          <bgColor indexed="43"/>
        </patternFill>
      </fill>
    </dxf>
    <dxf>
      <fill>
        <patternFill patternType="lightGray">
          <fgColor indexed="10"/>
          <bgColor indexed="9"/>
        </patternFill>
      </fill>
    </dxf>
    <dxf>
      <font>
        <color indexed="9"/>
      </font>
    </dxf>
    <dxf>
      <fill>
        <patternFill patternType="lightGray">
          <fgColor indexed="10"/>
          <bgColor indexed="9"/>
        </patternFill>
      </fill>
    </dxf>
    <dxf>
      <fill>
        <patternFill patternType="lightGray">
          <fgColor indexed="10"/>
        </patternFill>
      </fill>
    </dxf>
    <dxf>
      <font>
        <color indexed="9"/>
      </font>
    </dxf>
    <dxf>
      <font>
        <color indexed="8"/>
      </font>
      <fill>
        <patternFill>
          <bgColor indexed="43"/>
        </patternFill>
      </fill>
    </dxf>
    <dxf>
      <font>
        <color indexed="9"/>
      </font>
    </dxf>
    <dxf>
      <font>
        <color indexed="9"/>
      </font>
    </dxf>
    <dxf>
      <font>
        <color indexed="9"/>
      </font>
    </dxf>
    <dxf>
      <font>
        <color indexed="9"/>
      </font>
    </dxf>
    <dxf>
      <font>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CC253"/>
  <sheetViews>
    <sheetView zoomScaleSheetLayoutView="100" zoomScalePageLayoutView="0" workbookViewId="0" topLeftCell="B1">
      <selection activeCell="D5" sqref="D5:E5"/>
    </sheetView>
  </sheetViews>
  <sheetFormatPr defaultColWidth="9.140625" defaultRowHeight="12.75"/>
  <cols>
    <col min="1" max="1" width="7.28125" style="1" customWidth="1"/>
    <col min="2" max="2" width="11.140625" style="1" customWidth="1"/>
    <col min="3" max="3" width="9.7109375" style="1" customWidth="1"/>
    <col min="4" max="12" width="8.8515625" style="1" customWidth="1"/>
    <col min="13" max="13" width="9.140625" style="1" customWidth="1"/>
    <col min="14" max="16" width="8.8515625" style="1" customWidth="1"/>
    <col min="17" max="18" width="11.140625" style="1" customWidth="1"/>
    <col min="19" max="19" width="8.7109375" style="1" customWidth="1"/>
    <col min="20" max="20" width="9.7109375" style="1" customWidth="1"/>
    <col min="21" max="21" width="8.421875" style="1" hidden="1" customWidth="1"/>
    <col min="22" max="26" width="9.7109375" style="1" hidden="1" customWidth="1"/>
    <col min="27" max="27" width="9.7109375" style="65" hidden="1" customWidth="1"/>
    <col min="28" max="30" width="9.7109375" style="1" hidden="1" customWidth="1"/>
    <col min="31" max="31" width="10.57421875" style="1" hidden="1" customWidth="1"/>
    <col min="32" max="39" width="9.7109375" style="1" hidden="1" customWidth="1"/>
    <col min="40" max="40" width="8.57421875" style="1" hidden="1" customWidth="1"/>
    <col min="41" max="52" width="9.7109375" style="1" hidden="1" customWidth="1"/>
    <col min="53" max="64" width="9.140625" style="1" hidden="1" customWidth="1"/>
    <col min="65" max="65" width="12.28125" style="1" hidden="1" customWidth="1"/>
    <col min="66" max="66" width="11.140625" style="1" hidden="1" customWidth="1"/>
    <col min="67" max="67" width="13.28125" style="1" hidden="1" customWidth="1"/>
    <col min="68" max="68" width="15.8515625" style="1" hidden="1" customWidth="1"/>
    <col min="69" max="69" width="15.28125" style="1" hidden="1" customWidth="1"/>
    <col min="70" max="71" width="18.28125" style="1" hidden="1" customWidth="1"/>
    <col min="72" max="72" width="18.57421875" style="1" hidden="1" customWidth="1"/>
    <col min="73" max="73" width="16.421875" style="1" hidden="1" customWidth="1"/>
    <col min="74" max="74" width="24.28125" style="1" hidden="1" customWidth="1"/>
    <col min="75" max="81" width="9.140625" style="1" hidden="1" customWidth="1"/>
    <col min="82" max="83" width="0" style="1" hidden="1" customWidth="1"/>
    <col min="84" max="16384" width="9.140625" style="1" customWidth="1"/>
  </cols>
  <sheetData>
    <row r="1" spans="1:81" ht="13.5" customHeight="1">
      <c r="A1" s="338"/>
      <c r="B1" s="339"/>
      <c r="C1" s="654" t="s">
        <v>398</v>
      </c>
      <c r="D1" s="340"/>
      <c r="E1" s="340"/>
      <c r="F1" s="340"/>
      <c r="G1" s="340"/>
      <c r="H1" s="340"/>
      <c r="I1" s="340"/>
      <c r="J1" s="340"/>
      <c r="K1" s="340"/>
      <c r="L1" s="340"/>
      <c r="M1" s="340"/>
      <c r="N1" s="340"/>
      <c r="O1" s="340"/>
      <c r="P1" s="340"/>
      <c r="Q1" s="340"/>
      <c r="R1" s="340"/>
      <c r="S1" s="341"/>
      <c r="T1" s="342"/>
      <c r="U1" s="11"/>
      <c r="V1" s="7"/>
      <c r="W1" s="7"/>
      <c r="X1" s="7"/>
      <c r="Y1" s="7"/>
      <c r="AC1" s="8"/>
      <c r="AD1" s="12"/>
      <c r="AJ1" s="13"/>
      <c r="BM1" s="661"/>
      <c r="BN1" s="661"/>
      <c r="BO1" s="661"/>
      <c r="BP1" s="661"/>
      <c r="BQ1" s="661"/>
      <c r="BR1" s="661"/>
      <c r="BS1" s="661"/>
      <c r="BT1" s="661"/>
      <c r="BU1" s="661"/>
      <c r="BV1" s="661"/>
      <c r="BW1" s="661"/>
      <c r="BX1" s="661"/>
      <c r="BY1" s="661"/>
      <c r="BZ1" s="661"/>
      <c r="CA1" s="661"/>
      <c r="CB1" s="661"/>
      <c r="CC1" s="661"/>
    </row>
    <row r="2" spans="1:81" ht="16.5" customHeight="1">
      <c r="A2" s="343"/>
      <c r="B2" s="344"/>
      <c r="C2" s="344"/>
      <c r="D2" s="344"/>
      <c r="E2" s="344"/>
      <c r="F2" s="344"/>
      <c r="G2" s="344"/>
      <c r="H2" s="344"/>
      <c r="I2" s="344"/>
      <c r="J2" s="345" t="s">
        <v>399</v>
      </c>
      <c r="K2" s="344"/>
      <c r="L2" s="344"/>
      <c r="M2" s="344"/>
      <c r="N2" s="344"/>
      <c r="O2" s="344"/>
      <c r="P2" s="344"/>
      <c r="Q2" s="344"/>
      <c r="R2" s="344"/>
      <c r="S2" s="344"/>
      <c r="T2" s="346"/>
      <c r="BM2" s="661"/>
      <c r="BN2" s="661"/>
      <c r="BO2" s="661"/>
      <c r="BP2" s="661"/>
      <c r="BQ2" s="661"/>
      <c r="BR2" s="661"/>
      <c r="BS2" s="661"/>
      <c r="BT2" s="661"/>
      <c r="BU2" s="661"/>
      <c r="BV2" s="661"/>
      <c r="BW2" s="661"/>
      <c r="BX2" s="661"/>
      <c r="BY2" s="661"/>
      <c r="BZ2" s="661"/>
      <c r="CA2" s="661"/>
      <c r="CB2" s="661"/>
      <c r="CC2" s="661"/>
    </row>
    <row r="3" spans="1:81" ht="26.25">
      <c r="A3" s="343"/>
      <c r="B3" s="766" t="s">
        <v>184</v>
      </c>
      <c r="C3" s="766"/>
      <c r="D3" s="766"/>
      <c r="E3" s="766"/>
      <c r="F3" s="766"/>
      <c r="G3" s="766"/>
      <c r="H3" s="766"/>
      <c r="I3" s="766"/>
      <c r="J3" s="766"/>
      <c r="K3" s="766"/>
      <c r="L3" s="766"/>
      <c r="M3" s="766"/>
      <c r="N3" s="766"/>
      <c r="O3" s="766"/>
      <c r="P3" s="766"/>
      <c r="Q3" s="766"/>
      <c r="R3" s="766"/>
      <c r="S3" s="766"/>
      <c r="T3" s="389"/>
      <c r="V3" s="1" t="s">
        <v>214</v>
      </c>
      <c r="Y3" s="7"/>
      <c r="AG3" s="65"/>
      <c r="AJ3" s="13"/>
      <c r="BC3" s="765" t="s">
        <v>234</v>
      </c>
      <c r="BD3" s="765"/>
      <c r="BF3" s="765" t="s">
        <v>235</v>
      </c>
      <c r="BG3" s="765"/>
      <c r="BH3" s="764" t="s">
        <v>236</v>
      </c>
      <c r="BI3" s="764"/>
      <c r="BM3" s="661"/>
      <c r="BN3" s="661"/>
      <c r="BO3" s="661"/>
      <c r="BP3" s="661"/>
      <c r="BQ3" s="661"/>
      <c r="BR3" s="661"/>
      <c r="BS3" s="661"/>
      <c r="BT3" s="661"/>
      <c r="BU3" s="661"/>
      <c r="BV3" s="661"/>
      <c r="BW3" s="661"/>
      <c r="BX3" s="661"/>
      <c r="BY3" s="661"/>
      <c r="BZ3" s="661"/>
      <c r="CA3" s="661"/>
      <c r="CB3" s="661"/>
      <c r="CC3" s="661"/>
    </row>
    <row r="4" spans="1:81" ht="8.25" customHeight="1">
      <c r="A4" s="343"/>
      <c r="B4" s="344"/>
      <c r="C4" s="344"/>
      <c r="D4" s="344"/>
      <c r="E4" s="344"/>
      <c r="F4" s="344"/>
      <c r="G4" s="344"/>
      <c r="H4" s="344"/>
      <c r="I4" s="344"/>
      <c r="J4" s="344"/>
      <c r="K4" s="344"/>
      <c r="L4" s="344"/>
      <c r="M4" s="344"/>
      <c r="N4" s="335"/>
      <c r="O4" s="344"/>
      <c r="P4" s="344"/>
      <c r="Q4" s="344"/>
      <c r="R4" s="344"/>
      <c r="S4" s="344"/>
      <c r="T4" s="346"/>
      <c r="X4" s="65"/>
      <c r="Y4" s="133"/>
      <c r="AJ4" s="12"/>
      <c r="BC4" s="765"/>
      <c r="BD4" s="765"/>
      <c r="BF4" s="765"/>
      <c r="BG4" s="765"/>
      <c r="BH4" s="764"/>
      <c r="BI4" s="764"/>
      <c r="BM4" s="661"/>
      <c r="BN4" s="661"/>
      <c r="BO4" s="661"/>
      <c r="BP4" s="661"/>
      <c r="BQ4" s="661"/>
      <c r="BR4" s="661"/>
      <c r="BS4" s="661"/>
      <c r="BT4" s="661"/>
      <c r="BU4" s="661"/>
      <c r="BV4" s="661"/>
      <c r="BW4" s="661"/>
      <c r="BX4" s="661"/>
      <c r="BY4" s="661"/>
      <c r="BZ4" s="661"/>
      <c r="CA4" s="661"/>
      <c r="CB4" s="661"/>
      <c r="CC4" s="661"/>
    </row>
    <row r="5" spans="1:81" ht="18" customHeight="1">
      <c r="A5" s="343"/>
      <c r="B5" s="347"/>
      <c r="C5" s="736" t="s">
        <v>0</v>
      </c>
      <c r="D5" s="769"/>
      <c r="E5" s="769"/>
      <c r="F5" s="347" t="s">
        <v>173</v>
      </c>
      <c r="G5" s="702"/>
      <c r="H5" s="778" t="s">
        <v>169</v>
      </c>
      <c r="I5" s="778"/>
      <c r="J5" s="775"/>
      <c r="K5" s="775"/>
      <c r="L5" s="775"/>
      <c r="M5" s="775"/>
      <c r="N5" s="775"/>
      <c r="O5" s="767">
        <f>IF(R7="","","Square Yard Inch Project")</f>
      </c>
      <c r="P5" s="767"/>
      <c r="Q5" s="767"/>
      <c r="R5" s="767"/>
      <c r="S5" s="767"/>
      <c r="T5" s="768"/>
      <c r="V5" s="537" t="e">
        <f>S6/R8</f>
        <v>#DIV/0!</v>
      </c>
      <c r="W5" s="65"/>
      <c r="X5" s="65"/>
      <c r="Y5" s="65">
        <v>0</v>
      </c>
      <c r="Z5" s="65"/>
      <c r="AG5" s="38"/>
      <c r="AH5" s="38"/>
      <c r="AI5" s="38"/>
      <c r="AJ5" s="38"/>
      <c r="AK5" s="38"/>
      <c r="AL5" s="38"/>
      <c r="AM5" s="38"/>
      <c r="AN5" s="38"/>
      <c r="AO5" s="38"/>
      <c r="AP5" s="38"/>
      <c r="AQ5" s="38"/>
      <c r="AR5" s="38"/>
      <c r="AS5" s="38"/>
      <c r="BB5" s="617"/>
      <c r="BC5" s="617" t="s">
        <v>232</v>
      </c>
      <c r="BD5" s="617" t="s">
        <v>233</v>
      </c>
      <c r="BE5" s="617"/>
      <c r="BF5" s="617" t="s">
        <v>232</v>
      </c>
      <c r="BG5" s="617" t="s">
        <v>233</v>
      </c>
      <c r="BH5" s="765" t="s">
        <v>237</v>
      </c>
      <c r="BI5" s="765"/>
      <c r="BM5" s="661"/>
      <c r="BN5" s="661"/>
      <c r="BO5" s="661"/>
      <c r="BP5" s="661"/>
      <c r="BQ5" s="661"/>
      <c r="BR5" s="661"/>
      <c r="BS5" s="661"/>
      <c r="BT5" s="661"/>
      <c r="BU5" s="661"/>
      <c r="BV5" s="661"/>
      <c r="BW5" s="661"/>
      <c r="BX5" s="661"/>
      <c r="BY5" s="661"/>
      <c r="BZ5" s="661"/>
      <c r="CA5" s="661"/>
      <c r="CB5" s="661"/>
      <c r="CC5" s="661"/>
    </row>
    <row r="6" spans="1:81" ht="15" customHeight="1">
      <c r="A6" s="343"/>
      <c r="B6" s="776" t="s">
        <v>172</v>
      </c>
      <c r="C6" s="776"/>
      <c r="D6" s="782"/>
      <c r="E6" s="782"/>
      <c r="F6" s="782"/>
      <c r="G6" s="782"/>
      <c r="H6" s="782"/>
      <c r="I6" s="344"/>
      <c r="J6" s="776" t="str">
        <f>VLOOKUP(N10,AL118:AM129,2)</f>
        <v>GYRATORY DESIGN</v>
      </c>
      <c r="K6" s="776"/>
      <c r="L6" s="776"/>
      <c r="M6" s="789">
        <f>IF(V7&lt;V9,"check tons","")</f>
      </c>
      <c r="N6" s="789"/>
      <c r="O6" s="790">
        <f>IF(R7="","","TOTAL TONS PAVED")</f>
      </c>
      <c r="P6" s="790"/>
      <c r="Q6" s="791"/>
      <c r="R6" s="682"/>
      <c r="S6" s="538">
        <v>7000</v>
      </c>
      <c r="T6" s="350"/>
      <c r="V6" s="1" t="s">
        <v>212</v>
      </c>
      <c r="W6" s="65"/>
      <c r="X6" s="65"/>
      <c r="Y6" s="65"/>
      <c r="Z6" s="65"/>
      <c r="AG6" s="38"/>
      <c r="AH6" s="38"/>
      <c r="AI6" s="38"/>
      <c r="AJ6" s="38"/>
      <c r="AK6" s="38"/>
      <c r="AL6" s="38"/>
      <c r="AM6" s="38"/>
      <c r="AN6" s="38"/>
      <c r="AO6" s="38"/>
      <c r="AP6" s="38"/>
      <c r="AQ6" s="38"/>
      <c r="AR6" s="38"/>
      <c r="AS6" s="38"/>
      <c r="BB6" s="618">
        <v>83.2</v>
      </c>
      <c r="BC6" s="619">
        <v>0.5</v>
      </c>
      <c r="BD6" s="619">
        <v>0.5</v>
      </c>
      <c r="BE6" s="618">
        <v>83.2</v>
      </c>
      <c r="BF6" s="619">
        <v>0.5</v>
      </c>
      <c r="BG6" s="619">
        <v>0.5</v>
      </c>
      <c r="BH6" s="623">
        <f>+IF((OR(($AK$81=3),($AK$81=2))),BC6,BF6)</f>
        <v>0.5</v>
      </c>
      <c r="BI6" s="623">
        <f aca="true" t="shared" si="0" ref="BI6:BI13">+IF((OR(($AK$81=3),($AK$81=2))),BD6,BG6)</f>
        <v>0.5</v>
      </c>
      <c r="BM6" s="661"/>
      <c r="BN6" s="661"/>
      <c r="BO6" s="661"/>
      <c r="BP6" s="661">
        <v>0</v>
      </c>
      <c r="BQ6" s="661">
        <f>IF(((BP6=1)*OR(BP7=1)*OR(BP8=1)),1,0)</f>
        <v>0</v>
      </c>
      <c r="BR6" s="661"/>
      <c r="BS6" s="661"/>
      <c r="BT6" s="661"/>
      <c r="BU6" s="661"/>
      <c r="BV6" s="661"/>
      <c r="BW6" s="661"/>
      <c r="BX6" s="661"/>
      <c r="BY6" s="661"/>
      <c r="BZ6" s="661"/>
      <c r="CA6" s="661"/>
      <c r="CB6" s="661"/>
      <c r="CC6" s="661"/>
    </row>
    <row r="7" spans="1:81" ht="15" customHeight="1">
      <c r="A7" s="343"/>
      <c r="B7" s="344"/>
      <c r="C7" s="344"/>
      <c r="D7" s="344"/>
      <c r="E7" s="344"/>
      <c r="F7" s="344"/>
      <c r="G7" s="249"/>
      <c r="H7" s="249"/>
      <c r="I7" s="249"/>
      <c r="J7" s="249"/>
      <c r="K7" s="249"/>
      <c r="L7" s="249"/>
      <c r="M7" s="425" t="s">
        <v>383</v>
      </c>
      <c r="N7" s="703"/>
      <c r="O7" s="790" t="s">
        <v>167</v>
      </c>
      <c r="P7" s="790"/>
      <c r="Q7" s="790"/>
      <c r="R7" s="722"/>
      <c r="S7" s="175"/>
      <c r="T7" s="346"/>
      <c r="V7" s="1">
        <f>+IF(R7="",R8,S6)</f>
        <v>0</v>
      </c>
      <c r="W7" s="65"/>
      <c r="X7" s="65"/>
      <c r="Y7" s="65"/>
      <c r="Z7" s="65"/>
      <c r="AG7" s="12"/>
      <c r="BB7" s="618">
        <v>83.3</v>
      </c>
      <c r="BC7" s="619">
        <v>0.5</v>
      </c>
      <c r="BD7" s="619">
        <v>0.5</v>
      </c>
      <c r="BE7" s="618">
        <v>83.3</v>
      </c>
      <c r="BF7" s="619">
        <v>0.5</v>
      </c>
      <c r="BG7" s="619">
        <v>0.5</v>
      </c>
      <c r="BH7" s="623">
        <f aca="true" t="shared" si="1" ref="BH7:BH12">+IF((OR(($AK$81=3),($AK$81=2))),BC7,BF7)</f>
        <v>0.5</v>
      </c>
      <c r="BI7" s="623">
        <f t="shared" si="0"/>
        <v>0.5</v>
      </c>
      <c r="BM7" s="661"/>
      <c r="BN7" s="661"/>
      <c r="BO7" s="661"/>
      <c r="BP7" s="661">
        <v>1</v>
      </c>
      <c r="BQ7" s="661"/>
      <c r="BR7" s="661"/>
      <c r="BS7" s="661"/>
      <c r="BT7" s="661"/>
      <c r="BU7" s="661"/>
      <c r="BV7" s="661"/>
      <c r="BW7" s="661"/>
      <c r="BX7" s="661"/>
      <c r="BY7" s="661"/>
      <c r="BZ7" s="661"/>
      <c r="CA7" s="661"/>
      <c r="CB7" s="661"/>
      <c r="CC7" s="661"/>
    </row>
    <row r="8" spans="1:81" s="44" customFormat="1" ht="15" customHeight="1">
      <c r="A8" s="352"/>
      <c r="B8" s="779" t="s">
        <v>13</v>
      </c>
      <c r="C8" s="780"/>
      <c r="D8" s="708"/>
      <c r="E8" s="708"/>
      <c r="F8" s="708"/>
      <c r="G8" s="708"/>
      <c r="H8" s="708"/>
      <c r="I8" s="708"/>
      <c r="J8" s="709"/>
      <c r="K8" s="709"/>
      <c r="L8" s="709"/>
      <c r="M8" s="425" t="s">
        <v>384</v>
      </c>
      <c r="N8" s="703"/>
      <c r="O8" s="772" t="str">
        <f>IF(R7="","TOTAL TONS PAVED =","TOTAL AREA PAVED =")</f>
        <v>TOTAL TONS PAVED =</v>
      </c>
      <c r="P8" s="772"/>
      <c r="Q8" s="772"/>
      <c r="R8" s="712"/>
      <c r="S8" s="215"/>
      <c r="T8" s="353"/>
      <c r="V8" s="1" t="s">
        <v>211</v>
      </c>
      <c r="AG8" s="47"/>
      <c r="BB8" s="618">
        <v>83.4</v>
      </c>
      <c r="BC8" s="619">
        <v>0.5</v>
      </c>
      <c r="BD8" s="619">
        <v>0.5</v>
      </c>
      <c r="BE8" s="618">
        <v>83.4</v>
      </c>
      <c r="BF8" s="619">
        <v>0.5</v>
      </c>
      <c r="BG8" s="619">
        <v>0.5</v>
      </c>
      <c r="BH8" s="623">
        <f t="shared" si="1"/>
        <v>0.5</v>
      </c>
      <c r="BI8" s="623">
        <f t="shared" si="0"/>
        <v>0.5</v>
      </c>
      <c r="BM8" s="662"/>
      <c r="BN8" s="662"/>
      <c r="BO8" s="662"/>
      <c r="BP8" s="661">
        <v>1</v>
      </c>
      <c r="BQ8" s="662"/>
      <c r="BR8" s="662"/>
      <c r="BS8" s="662"/>
      <c r="BT8" s="662"/>
      <c r="BU8" s="662"/>
      <c r="BV8" s="662"/>
      <c r="BW8" s="662"/>
      <c r="BX8" s="662"/>
      <c r="BY8" s="662"/>
      <c r="BZ8" s="662"/>
      <c r="CA8" s="662"/>
      <c r="CB8" s="662"/>
      <c r="CC8" s="662"/>
    </row>
    <row r="9" spans="1:81" ht="15" customHeight="1">
      <c r="A9" s="343"/>
      <c r="B9" s="751" t="s">
        <v>114</v>
      </c>
      <c r="C9" s="752"/>
      <c r="D9" s="708"/>
      <c r="E9" s="708"/>
      <c r="F9" s="708"/>
      <c r="G9" s="708"/>
      <c r="H9" s="708"/>
      <c r="I9" s="708"/>
      <c r="J9" s="708"/>
      <c r="K9" s="709"/>
      <c r="L9" s="709"/>
      <c r="M9" s="335" t="s">
        <v>9</v>
      </c>
      <c r="N9" s="721"/>
      <c r="O9" s="772" t="str">
        <f>IF(R7="","MAX. DENSITY TONS =","MAX. DENSITY AREA =")</f>
        <v>MAX. DENSITY TONS =</v>
      </c>
      <c r="P9" s="772"/>
      <c r="Q9" s="772"/>
      <c r="R9" s="712"/>
      <c r="S9" s="175"/>
      <c r="T9" s="354"/>
      <c r="V9" s="1">
        <f>+IF(R7="",R9,S6*R10)</f>
        <v>0</v>
      </c>
      <c r="W9" s="65"/>
      <c r="X9" s="65"/>
      <c r="Y9" s="65"/>
      <c r="Z9" s="65"/>
      <c r="AG9" s="12"/>
      <c r="BB9" s="618">
        <v>83.5</v>
      </c>
      <c r="BC9" s="619">
        <v>0.5</v>
      </c>
      <c r="BD9" s="619">
        <v>0.7</v>
      </c>
      <c r="BE9" s="618">
        <v>83.5</v>
      </c>
      <c r="BF9" s="619">
        <v>0.5</v>
      </c>
      <c r="BG9" s="619">
        <v>0.5</v>
      </c>
      <c r="BH9" s="623">
        <f t="shared" si="1"/>
        <v>0.5</v>
      </c>
      <c r="BI9" s="623">
        <f t="shared" si="0"/>
        <v>0.7</v>
      </c>
      <c r="BM9" s="661"/>
      <c r="BN9" s="661"/>
      <c r="BO9" s="661"/>
      <c r="BP9" s="661"/>
      <c r="BQ9" s="661"/>
      <c r="BR9" s="661"/>
      <c r="BS9" s="661"/>
      <c r="BT9" s="661"/>
      <c r="BU9" s="661"/>
      <c r="BV9" s="661"/>
      <c r="BW9" s="661"/>
      <c r="BX9" s="661"/>
      <c r="BY9" s="661"/>
      <c r="BZ9" s="661"/>
      <c r="CA9" s="661"/>
      <c r="CB9" s="661"/>
      <c r="CC9" s="661"/>
    </row>
    <row r="10" spans="1:81" ht="15" customHeight="1">
      <c r="A10" s="343"/>
      <c r="B10" s="779" t="s">
        <v>15</v>
      </c>
      <c r="C10" s="780"/>
      <c r="D10" s="355">
        <f>IF(D9="",0,IF(E9="",$V$7,E9))</f>
        <v>0</v>
      </c>
      <c r="E10" s="355">
        <f aca="true" t="shared" si="2" ref="E10:K10">IF(E9="",0,IF(F9="",$V$7-E9,F9-E9))</f>
        <v>0</v>
      </c>
      <c r="F10" s="355">
        <f t="shared" si="2"/>
        <v>0</v>
      </c>
      <c r="G10" s="355">
        <f t="shared" si="2"/>
        <v>0</v>
      </c>
      <c r="H10" s="355">
        <f t="shared" si="2"/>
        <v>0</v>
      </c>
      <c r="I10" s="355">
        <f t="shared" si="2"/>
        <v>0</v>
      </c>
      <c r="J10" s="355">
        <f t="shared" si="2"/>
        <v>0</v>
      </c>
      <c r="K10" s="355">
        <f t="shared" si="2"/>
        <v>0</v>
      </c>
      <c r="L10" s="355">
        <f>IF(L9="",0,$V$7-L9)</f>
        <v>0</v>
      </c>
      <c r="M10" s="335" t="s">
        <v>11</v>
      </c>
      <c r="N10" s="705" t="s">
        <v>16</v>
      </c>
      <c r="O10" s="772" t="s">
        <v>126</v>
      </c>
      <c r="P10" s="772"/>
      <c r="Q10" s="772"/>
      <c r="R10" s="356" t="e">
        <f>R9/R8</f>
        <v>#DIV/0!</v>
      </c>
      <c r="S10" s="175"/>
      <c r="T10" s="354"/>
      <c r="V10" s="1" t="s">
        <v>213</v>
      </c>
      <c r="W10" s="65"/>
      <c r="X10" s="65"/>
      <c r="Y10" s="65"/>
      <c r="Z10" s="65"/>
      <c r="AB10" s="1">
        <v>1.22312</v>
      </c>
      <c r="BB10" s="618">
        <v>83.6</v>
      </c>
      <c r="BC10" s="619">
        <v>0.5</v>
      </c>
      <c r="BD10" s="619">
        <v>0.7</v>
      </c>
      <c r="BE10" s="618">
        <v>83.6</v>
      </c>
      <c r="BF10" s="619">
        <v>0.5</v>
      </c>
      <c r="BG10" s="619">
        <v>0.5</v>
      </c>
      <c r="BH10" s="623">
        <f t="shared" si="1"/>
        <v>0.5</v>
      </c>
      <c r="BI10" s="623">
        <f t="shared" si="0"/>
        <v>0.7</v>
      </c>
      <c r="BM10" s="661"/>
      <c r="BN10" s="661"/>
      <c r="BO10" s="661"/>
      <c r="BP10" s="661"/>
      <c r="BQ10" s="661"/>
      <c r="BR10" s="661"/>
      <c r="BS10" s="661"/>
      <c r="BT10" s="661"/>
      <c r="BU10" s="661"/>
      <c r="BV10" s="661"/>
      <c r="BW10" s="661"/>
      <c r="BX10" s="661"/>
      <c r="BY10" s="661"/>
      <c r="BZ10" s="661"/>
      <c r="CA10" s="661"/>
      <c r="CB10" s="661"/>
      <c r="CC10" s="661"/>
    </row>
    <row r="11" spans="1:81" ht="15" customHeight="1">
      <c r="A11" s="343"/>
      <c r="B11" s="758" t="s">
        <v>171</v>
      </c>
      <c r="C11" s="759"/>
      <c r="D11" s="357" t="e">
        <f aca="true" t="shared" si="3" ref="D11:L11">IF(D10="",0,D10*$R$10)</f>
        <v>#DIV/0!</v>
      </c>
      <c r="E11" s="357" t="e">
        <f t="shared" si="3"/>
        <v>#DIV/0!</v>
      </c>
      <c r="F11" s="357" t="e">
        <f t="shared" si="3"/>
        <v>#DIV/0!</v>
      </c>
      <c r="G11" s="357" t="e">
        <f t="shared" si="3"/>
        <v>#DIV/0!</v>
      </c>
      <c r="H11" s="357" t="e">
        <f t="shared" si="3"/>
        <v>#DIV/0!</v>
      </c>
      <c r="I11" s="357" t="e">
        <f t="shared" si="3"/>
        <v>#DIV/0!</v>
      </c>
      <c r="J11" s="357" t="e">
        <f t="shared" si="3"/>
        <v>#DIV/0!</v>
      </c>
      <c r="K11" s="357" t="e">
        <f t="shared" si="3"/>
        <v>#DIV/0!</v>
      </c>
      <c r="L11" s="357" t="e">
        <f t="shared" si="3"/>
        <v>#DIV/0!</v>
      </c>
      <c r="M11" s="335" t="s">
        <v>179</v>
      </c>
      <c r="N11" s="657" t="e">
        <f>+IF(D76&gt;2,D78,D84)</f>
        <v>#N/A</v>
      </c>
      <c r="O11" s="344"/>
      <c r="P11" s="344"/>
      <c r="Q11" s="322" t="s">
        <v>168</v>
      </c>
      <c r="R11" s="706"/>
      <c r="S11" s="175"/>
      <c r="T11" s="346"/>
      <c r="V11" s="1" t="e">
        <f>+IF(R11="",V9/R12,V9/R11)</f>
        <v>#N/A</v>
      </c>
      <c r="X11" s="62"/>
      <c r="Y11" s="62"/>
      <c r="AB11" s="1">
        <f>+mndot_rounding_3(AB10)</f>
        <v>1.223</v>
      </c>
      <c r="AG11" s="12"/>
      <c r="AJ11" s="12"/>
      <c r="AK11" s="12"/>
      <c r="AL11" s="12" t="e">
        <f>IF(AF123&lt;AE123,AF123/4,"")</f>
        <v>#DIV/0!</v>
      </c>
      <c r="BB11" s="618">
        <v>83.7</v>
      </c>
      <c r="BC11" s="619">
        <v>0.5</v>
      </c>
      <c r="BD11" s="619">
        <v>0.7</v>
      </c>
      <c r="BE11" s="618">
        <v>83.7</v>
      </c>
      <c r="BF11" s="619">
        <v>0.5</v>
      </c>
      <c r="BG11" s="619">
        <v>0.5</v>
      </c>
      <c r="BH11" s="623">
        <f t="shared" si="1"/>
        <v>0.5</v>
      </c>
      <c r="BI11" s="623">
        <f t="shared" si="0"/>
        <v>0.7</v>
      </c>
      <c r="BM11" s="661"/>
      <c r="BN11" s="661"/>
      <c r="BO11" s="661"/>
      <c r="BP11" s="661"/>
      <c r="BQ11" s="661"/>
      <c r="BR11" s="661"/>
      <c r="BS11" s="661"/>
      <c r="BT11" s="661"/>
      <c r="BU11" s="661"/>
      <c r="BV11" s="661"/>
      <c r="BW11" s="661"/>
      <c r="BX11" s="661"/>
      <c r="BY11" s="661"/>
      <c r="BZ11" s="661"/>
      <c r="CA11" s="661"/>
      <c r="CB11" s="661"/>
      <c r="CC11" s="661"/>
    </row>
    <row r="12" spans="1:81" ht="15" customHeight="1">
      <c r="A12" s="343"/>
      <c r="B12" s="751" t="s">
        <v>115</v>
      </c>
      <c r="C12" s="752"/>
      <c r="D12" s="710"/>
      <c r="E12" s="710"/>
      <c r="F12" s="710"/>
      <c r="G12" s="710"/>
      <c r="H12" s="710"/>
      <c r="I12" s="710"/>
      <c r="J12" s="710"/>
      <c r="K12" s="710"/>
      <c r="L12" s="710"/>
      <c r="M12" s="351" t="s">
        <v>2</v>
      </c>
      <c r="N12" s="707" t="s">
        <v>3</v>
      </c>
      <c r="O12" s="358" t="s">
        <v>8</v>
      </c>
      <c r="P12" s="358"/>
      <c r="Q12" s="249"/>
      <c r="R12" s="348" t="e">
        <f>IF(R11=0,(IF(AG90=1,VLOOKUP(V9,$AD$94:$AE$101,2),IF(AG90=2,VLOOKUP(V9,$AF$94:$AG$101,2)))),R11)</f>
        <v>#N/A</v>
      </c>
      <c r="S12" s="175"/>
      <c r="T12" s="346"/>
      <c r="V12" s="1" t="s">
        <v>215</v>
      </c>
      <c r="X12" s="62"/>
      <c r="Y12" s="62"/>
      <c r="AG12" s="12"/>
      <c r="AJ12" s="12"/>
      <c r="AK12" s="12"/>
      <c r="BB12" s="618">
        <v>83.8</v>
      </c>
      <c r="BC12" s="619">
        <v>0.5</v>
      </c>
      <c r="BD12" s="619">
        <v>0.7</v>
      </c>
      <c r="BE12" s="618">
        <v>83.8</v>
      </c>
      <c r="BF12" s="619">
        <v>0.5</v>
      </c>
      <c r="BG12" s="619">
        <v>0.5</v>
      </c>
      <c r="BH12" s="623">
        <f t="shared" si="1"/>
        <v>0.5</v>
      </c>
      <c r="BI12" s="623">
        <f t="shared" si="0"/>
        <v>0.7</v>
      </c>
      <c r="BM12" s="661"/>
      <c r="BN12" s="661"/>
      <c r="BO12" s="661"/>
      <c r="BP12" s="661"/>
      <c r="BQ12" s="661" t="s">
        <v>272</v>
      </c>
      <c r="BR12" s="661"/>
      <c r="BS12" s="661"/>
      <c r="BT12" s="661"/>
      <c r="BU12" s="661"/>
      <c r="BV12" s="661"/>
      <c r="BW12" s="661"/>
      <c r="BX12" s="661"/>
      <c r="BY12" s="661"/>
      <c r="BZ12" s="661"/>
      <c r="CA12" s="661"/>
      <c r="CB12" s="661"/>
      <c r="CC12" s="661"/>
    </row>
    <row r="13" spans="1:81" ht="15" customHeight="1">
      <c r="A13" s="343"/>
      <c r="B13" s="751" t="s">
        <v>249</v>
      </c>
      <c r="C13" s="752"/>
      <c r="D13" s="711"/>
      <c r="E13" s="711"/>
      <c r="F13" s="711"/>
      <c r="G13" s="711"/>
      <c r="H13" s="711"/>
      <c r="I13" s="711"/>
      <c r="J13" s="711"/>
      <c r="K13" s="711"/>
      <c r="L13" s="711"/>
      <c r="M13" s="351"/>
      <c r="N13" s="746"/>
      <c r="O13" s="358"/>
      <c r="P13" s="358"/>
      <c r="Q13" s="249"/>
      <c r="R13" s="348"/>
      <c r="S13" s="175"/>
      <c r="T13" s="346"/>
      <c r="X13" s="62"/>
      <c r="Y13" s="62"/>
      <c r="AG13" s="12"/>
      <c r="AJ13" s="12"/>
      <c r="AK13" s="12"/>
      <c r="BB13" s="618">
        <v>83.9</v>
      </c>
      <c r="BC13" s="619">
        <v>0.5</v>
      </c>
      <c r="BD13" s="619">
        <v>0.7</v>
      </c>
      <c r="BE13" s="618">
        <v>83.9</v>
      </c>
      <c r="BF13" s="619">
        <v>0.5</v>
      </c>
      <c r="BG13" s="619">
        <v>0.5</v>
      </c>
      <c r="BH13" s="623">
        <f>+IF((OR(($AK$81=3),($AK$81=2))),BC13,BF13)</f>
        <v>0.5</v>
      </c>
      <c r="BI13" s="623">
        <f t="shared" si="0"/>
        <v>0.7</v>
      </c>
      <c r="BM13" s="661"/>
      <c r="BN13" s="661"/>
      <c r="BO13" s="661"/>
      <c r="BP13" s="661"/>
      <c r="BQ13" s="661" t="s">
        <v>273</v>
      </c>
      <c r="BR13" s="661"/>
      <c r="BS13" s="661"/>
      <c r="BT13" s="661"/>
      <c r="BU13" s="661"/>
      <c r="BV13" s="661"/>
      <c r="BW13" s="661"/>
      <c r="BX13" s="661"/>
      <c r="BY13" s="661"/>
      <c r="BZ13" s="661"/>
      <c r="CA13" s="661"/>
      <c r="CB13" s="661"/>
      <c r="CC13" s="661"/>
    </row>
    <row r="14" spans="1:81" ht="15" customHeight="1">
      <c r="A14" s="343"/>
      <c r="B14" s="751" t="s">
        <v>250</v>
      </c>
      <c r="C14" s="752"/>
      <c r="D14" s="711"/>
      <c r="E14" s="711"/>
      <c r="F14" s="711"/>
      <c r="G14" s="711"/>
      <c r="H14" s="711"/>
      <c r="I14" s="711"/>
      <c r="J14" s="711"/>
      <c r="K14" s="711"/>
      <c r="L14" s="711"/>
      <c r="M14" s="351"/>
      <c r="N14"/>
      <c r="O14" s="358"/>
      <c r="P14" s="358"/>
      <c r="Q14" s="249"/>
      <c r="R14" s="348"/>
      <c r="S14" s="175"/>
      <c r="T14" s="346"/>
      <c r="X14" s="62"/>
      <c r="Y14" s="62"/>
      <c r="AG14" s="12"/>
      <c r="AJ14" s="12"/>
      <c r="AK14" s="12"/>
      <c r="BB14" s="618">
        <v>84</v>
      </c>
      <c r="BC14" s="619">
        <v>0.5</v>
      </c>
      <c r="BD14" s="619">
        <v>0.85</v>
      </c>
      <c r="BE14" s="618">
        <v>84</v>
      </c>
      <c r="BF14" s="619">
        <v>0.5</v>
      </c>
      <c r="BG14" s="619">
        <v>0.5</v>
      </c>
      <c r="BH14" s="623">
        <f>+IF((OR(($AK$81=3),($AK$81=2))),BC14,BF14)</f>
        <v>0.5</v>
      </c>
      <c r="BI14" s="623">
        <f aca="true" t="shared" si="4" ref="BI14:BI20">+IF((OR(($AK$81=3),($AK$81=2))),BD14,BG14)</f>
        <v>0.85</v>
      </c>
      <c r="BM14" s="661"/>
      <c r="BN14" s="661"/>
      <c r="BO14" s="661"/>
      <c r="BP14" s="661" t="s">
        <v>276</v>
      </c>
      <c r="BQ14" s="661"/>
      <c r="BR14" s="661" t="s">
        <v>283</v>
      </c>
      <c r="BS14" s="661" t="s">
        <v>288</v>
      </c>
      <c r="BT14" s="661" t="s">
        <v>292</v>
      </c>
      <c r="BU14" s="661"/>
      <c r="BV14" s="661"/>
      <c r="BW14" s="661"/>
      <c r="BX14" s="661"/>
      <c r="BY14" s="661"/>
      <c r="BZ14" s="661"/>
      <c r="CA14" s="661"/>
      <c r="CB14" s="661"/>
      <c r="CC14" s="661"/>
    </row>
    <row r="15" spans="1:81" ht="14.25" customHeight="1">
      <c r="A15" s="343"/>
      <c r="B15" s="349"/>
      <c r="C15" s="580"/>
      <c r="D15" s="772" t="s">
        <v>10</v>
      </c>
      <c r="E15" s="772"/>
      <c r="F15" s="280">
        <f>I15+0.5</f>
        <v>4</v>
      </c>
      <c r="G15" s="772" t="s">
        <v>7</v>
      </c>
      <c r="H15" s="772"/>
      <c r="I15" s="280">
        <f>VLOOKUP($N$10,$AD$71:$AH$82,2)</f>
        <v>3.5</v>
      </c>
      <c r="J15" s="772" t="s">
        <v>5</v>
      </c>
      <c r="K15" s="772"/>
      <c r="L15" s="280">
        <f>VLOOKUP(N10,$AD$71:$AH$82,3)</f>
        <v>92</v>
      </c>
      <c r="M15" s="344"/>
      <c r="N15" s="344"/>
      <c r="O15" s="249" t="str">
        <f>IF(R7="","            TONS PER LOT =","    SQ YARDS PER LOT =")</f>
        <v>            TONS PER LOT =</v>
      </c>
      <c r="P15" s="249"/>
      <c r="Q15" s="249"/>
      <c r="R15" s="356" t="e">
        <f>R9/R12</f>
        <v>#N/A</v>
      </c>
      <c r="S15" s="175"/>
      <c r="T15" s="346"/>
      <c r="V15" s="536">
        <f>+IF(R7="",N9,N9*R8/S6)</f>
        <v>0</v>
      </c>
      <c r="BB15" s="618">
        <v>84.1</v>
      </c>
      <c r="BC15" s="619">
        <v>0.5</v>
      </c>
      <c r="BD15" s="619">
        <v>0.85</v>
      </c>
      <c r="BE15" s="618">
        <v>84.1</v>
      </c>
      <c r="BF15" s="619">
        <v>0.5</v>
      </c>
      <c r="BG15" s="619">
        <v>0.5</v>
      </c>
      <c r="BH15" s="623">
        <f aca="true" t="shared" si="5" ref="BH15:BI81">+IF((OR(($AK$81=3),($AK$81=2))),BC15,BF15)</f>
        <v>0.5</v>
      </c>
      <c r="BI15" s="623">
        <f t="shared" si="4"/>
        <v>0.85</v>
      </c>
      <c r="BM15" s="661"/>
      <c r="BN15" s="661"/>
      <c r="BO15" s="661"/>
      <c r="BP15" s="661" t="s">
        <v>277</v>
      </c>
      <c r="BQ15" s="661" t="s">
        <v>281</v>
      </c>
      <c r="BR15" s="661" t="s">
        <v>284</v>
      </c>
      <c r="BS15" s="661" t="s">
        <v>289</v>
      </c>
      <c r="BT15" s="661" t="s">
        <v>293</v>
      </c>
      <c r="BU15" s="661"/>
      <c r="BV15" s="661"/>
      <c r="BW15" s="661"/>
      <c r="BX15" s="661"/>
      <c r="BY15" s="661"/>
      <c r="BZ15" s="661"/>
      <c r="CA15" s="661"/>
      <c r="CB15" s="661"/>
      <c r="CC15" s="661"/>
    </row>
    <row r="16" spans="1:81" ht="14.25" customHeight="1">
      <c r="A16" s="343"/>
      <c r="B16" s="349"/>
      <c r="C16" s="580"/>
      <c r="D16" s="335"/>
      <c r="E16" s="335"/>
      <c r="F16" s="280"/>
      <c r="G16" s="335"/>
      <c r="H16" s="335"/>
      <c r="I16" s="280"/>
      <c r="J16" s="335"/>
      <c r="K16" s="335"/>
      <c r="L16" s="280"/>
      <c r="M16" s="344"/>
      <c r="N16" s="344"/>
      <c r="O16" s="375">
        <f>IF(R7="","","    Max Density Tons =")</f>
      </c>
      <c r="P16" s="375"/>
      <c r="Q16" s="335" t="s">
        <v>355</v>
      </c>
      <c r="R16" s="335" t="s">
        <v>360</v>
      </c>
      <c r="S16" s="356">
        <f>IF(R7="","",R10*S6)</f>
      </c>
      <c r="T16" s="346"/>
      <c r="V16" s="536"/>
      <c r="BB16" s="618">
        <v>84.2</v>
      </c>
      <c r="BC16" s="619">
        <v>0.5</v>
      </c>
      <c r="BD16" s="619">
        <v>0.85</v>
      </c>
      <c r="BE16" s="618">
        <v>84.2</v>
      </c>
      <c r="BF16" s="619">
        <v>0.5</v>
      </c>
      <c r="BG16" s="619">
        <v>0.5</v>
      </c>
      <c r="BH16" s="623">
        <f t="shared" si="5"/>
        <v>0.5</v>
      </c>
      <c r="BI16" s="623">
        <f t="shared" si="4"/>
        <v>0.85</v>
      </c>
      <c r="BM16" s="661"/>
      <c r="BN16" s="661"/>
      <c r="BO16" s="661" t="s">
        <v>266</v>
      </c>
      <c r="BP16" s="661" t="s">
        <v>278</v>
      </c>
      <c r="BQ16" s="661" t="s">
        <v>282</v>
      </c>
      <c r="BR16" s="661" t="s">
        <v>285</v>
      </c>
      <c r="BS16" s="661" t="s">
        <v>287</v>
      </c>
      <c r="BT16" s="661" t="s">
        <v>294</v>
      </c>
      <c r="BU16" s="661" t="s">
        <v>296</v>
      </c>
      <c r="BV16" s="661"/>
      <c r="BW16" s="661"/>
      <c r="BX16" s="661"/>
      <c r="BY16" s="661"/>
      <c r="BZ16" s="661"/>
      <c r="CA16" s="661"/>
      <c r="CB16" s="661"/>
      <c r="CC16" s="661"/>
    </row>
    <row r="17" spans="1:81" ht="14.25" customHeight="1">
      <c r="A17" s="343"/>
      <c r="B17" s="344"/>
      <c r="C17" s="335" t="s">
        <v>130</v>
      </c>
      <c r="D17" s="344"/>
      <c r="E17" s="335" t="s">
        <v>132</v>
      </c>
      <c r="F17" s="335"/>
      <c r="G17" s="335"/>
      <c r="H17" s="344"/>
      <c r="I17" s="335"/>
      <c r="J17" s="335" t="s">
        <v>134</v>
      </c>
      <c r="K17" s="335" t="s">
        <v>170</v>
      </c>
      <c r="L17" s="335" t="s">
        <v>17</v>
      </c>
      <c r="M17" s="335" t="s">
        <v>18</v>
      </c>
      <c r="N17" s="335" t="s">
        <v>19</v>
      </c>
      <c r="O17" s="335" t="s">
        <v>20</v>
      </c>
      <c r="P17" s="335" t="s">
        <v>227</v>
      </c>
      <c r="Q17" s="335" t="s">
        <v>21</v>
      </c>
      <c r="R17" s="335" t="s">
        <v>21</v>
      </c>
      <c r="S17" s="772" t="s">
        <v>22</v>
      </c>
      <c r="T17" s="781"/>
      <c r="Y17" s="23"/>
      <c r="AG17" s="12"/>
      <c r="BB17" s="618">
        <v>84.3</v>
      </c>
      <c r="BC17" s="619">
        <v>0.5</v>
      </c>
      <c r="BD17" s="619">
        <v>0.85</v>
      </c>
      <c r="BE17" s="618">
        <v>84.3</v>
      </c>
      <c r="BF17" s="619">
        <v>0.5</v>
      </c>
      <c r="BG17" s="619">
        <v>0.5</v>
      </c>
      <c r="BH17" s="623">
        <f t="shared" si="5"/>
        <v>0.5</v>
      </c>
      <c r="BI17" s="623">
        <f t="shared" si="4"/>
        <v>0.85</v>
      </c>
      <c r="BM17" s="661"/>
      <c r="BN17" s="661"/>
      <c r="BO17" s="661" t="s">
        <v>267</v>
      </c>
      <c r="BP17" s="661" t="s">
        <v>279</v>
      </c>
      <c r="BQ17" s="661" t="s">
        <v>275</v>
      </c>
      <c r="BR17" s="661" t="s">
        <v>286</v>
      </c>
      <c r="BS17" s="661"/>
      <c r="BT17" s="661" t="s">
        <v>295</v>
      </c>
      <c r="BU17" s="661" t="s">
        <v>297</v>
      </c>
      <c r="BV17" s="661"/>
      <c r="BW17" s="661"/>
      <c r="BX17" s="661"/>
      <c r="BY17" s="661"/>
      <c r="BZ17" s="661"/>
      <c r="CA17" s="661"/>
      <c r="CB17" s="661"/>
      <c r="CC17" s="661"/>
    </row>
    <row r="18" spans="1:81" ht="14.25" customHeight="1" thickBot="1">
      <c r="A18" s="359" t="s">
        <v>23</v>
      </c>
      <c r="B18" s="336" t="s">
        <v>24</v>
      </c>
      <c r="C18" s="336" t="s">
        <v>131</v>
      </c>
      <c r="D18" s="336" t="s">
        <v>80</v>
      </c>
      <c r="E18" s="336" t="s">
        <v>81</v>
      </c>
      <c r="F18" s="336" t="s">
        <v>82</v>
      </c>
      <c r="G18" s="336" t="s">
        <v>83</v>
      </c>
      <c r="H18" s="336" t="s">
        <v>84</v>
      </c>
      <c r="I18" s="336" t="s">
        <v>133</v>
      </c>
      <c r="J18" s="360" t="s">
        <v>135</v>
      </c>
      <c r="K18" s="360" t="s">
        <v>25</v>
      </c>
      <c r="L18" s="336" t="s">
        <v>26</v>
      </c>
      <c r="M18" s="336" t="s">
        <v>27</v>
      </c>
      <c r="N18" s="336" t="s">
        <v>28</v>
      </c>
      <c r="O18" s="361" t="s">
        <v>29</v>
      </c>
      <c r="P18" s="361" t="s">
        <v>228</v>
      </c>
      <c r="Q18" s="336" t="s">
        <v>30</v>
      </c>
      <c r="R18" s="336" t="s">
        <v>30</v>
      </c>
      <c r="S18" s="783" t="s">
        <v>31</v>
      </c>
      <c r="T18" s="784"/>
      <c r="X18" s="62"/>
      <c r="Y18" s="23"/>
      <c r="BB18" s="618">
        <v>84.4</v>
      </c>
      <c r="BC18" s="619">
        <v>0.5</v>
      </c>
      <c r="BD18" s="619">
        <v>0.85</v>
      </c>
      <c r="BE18" s="618">
        <v>84.4</v>
      </c>
      <c r="BF18" s="619">
        <v>0.5</v>
      </c>
      <c r="BG18" s="619">
        <v>0.5</v>
      </c>
      <c r="BH18" s="623">
        <f t="shared" si="5"/>
        <v>0.5</v>
      </c>
      <c r="BI18" s="623">
        <f t="shared" si="4"/>
        <v>0.85</v>
      </c>
      <c r="BM18" s="661" t="s">
        <v>269</v>
      </c>
      <c r="BN18" s="661"/>
      <c r="BO18" s="661" t="s">
        <v>268</v>
      </c>
      <c r="BP18" s="661" t="s">
        <v>280</v>
      </c>
      <c r="BQ18" s="661" t="s">
        <v>274</v>
      </c>
      <c r="BR18" s="661" t="s">
        <v>287</v>
      </c>
      <c r="BS18" s="661"/>
      <c r="BT18" s="661"/>
      <c r="BU18" s="661"/>
      <c r="BV18" s="661"/>
      <c r="BW18" s="661"/>
      <c r="BX18" s="661"/>
      <c r="BY18" s="661"/>
      <c r="BZ18" s="661"/>
      <c r="CA18" s="661"/>
      <c r="CB18" s="661"/>
      <c r="CC18" s="661"/>
    </row>
    <row r="19" spans="1:81" ht="15" customHeight="1" thickTop="1">
      <c r="A19" s="723"/>
      <c r="B19" s="348">
        <f>A19+0.1</f>
        <v>0.1</v>
      </c>
      <c r="C19" s="713"/>
      <c r="D19" s="724"/>
      <c r="E19" s="724"/>
      <c r="F19" s="724"/>
      <c r="G19" s="280">
        <f>IF(A19="","",E19-F19)</f>
      </c>
      <c r="H19" s="724"/>
      <c r="I19" s="724"/>
      <c r="J19" s="280">
        <f aca="true" t="shared" si="6" ref="J19:J42">IF(D19="",0,(((H19-(D19-G19))-G19)/((H19-(D19-G19))-(I19-(D19-G19))))*100)</f>
        <v>0</v>
      </c>
      <c r="K19" s="281">
        <f>IF(A19="","",mndot_rounding_3(G19/(H19-I19)))</f>
      </c>
      <c r="L19" s="281">
        <f>IF(K19="","",BT19)</f>
      </c>
      <c r="M19" s="362">
        <f>IF(K19="","",mndot_rounding_1((L22/$N$11)*100))</f>
      </c>
      <c r="N19" s="280">
        <f>IF(K19="","",AR87)</f>
      </c>
      <c r="O19" s="583">
        <f aca="true" t="shared" si="7" ref="O19:O41">IF(N19="","",AS87)</f>
      </c>
      <c r="P19" s="583">
        <f aca="true" t="shared" si="8" ref="P19:P41">IF(O19="","",(IF($R$7="","",(O19*($R$8/$S$6)))))</f>
      </c>
      <c r="Q19" s="687">
        <f>IF(N19="","",IF(AV87="SEE SPEC","SEE SPEC",IF(AV87="low voids","low voids",AV87+1)))</f>
      </c>
      <c r="R19" s="687">
        <f aca="true" t="shared" si="9" ref="R19:R40">G94</f>
      </c>
      <c r="S19" s="762">
        <f>IF(N19="","",IF($N$9="","BID $$ ??",AU87))</f>
      </c>
      <c r="T19" s="777"/>
      <c r="U19" s="1" t="e">
        <f>+IF($O$49=A19,$T$49,IF($O$44=A19,$T$44,1))</f>
        <v>#N/A</v>
      </c>
      <c r="X19" s="133"/>
      <c r="Y19" s="18"/>
      <c r="BB19" s="618">
        <v>84.5</v>
      </c>
      <c r="BC19" s="619">
        <v>0.5</v>
      </c>
      <c r="BD19" s="619">
        <v>0.91</v>
      </c>
      <c r="BE19" s="618">
        <v>84.5</v>
      </c>
      <c r="BF19" s="619">
        <v>0.5</v>
      </c>
      <c r="BG19" s="619">
        <v>0.7</v>
      </c>
      <c r="BH19" s="623">
        <f t="shared" si="5"/>
        <v>0.5</v>
      </c>
      <c r="BI19" s="623">
        <f t="shared" si="4"/>
        <v>0.91</v>
      </c>
      <c r="BM19" s="665">
        <f>+$A$19</f>
        <v>0</v>
      </c>
      <c r="BN19" s="661" t="s">
        <v>270</v>
      </c>
      <c r="BO19" s="665">
        <f>+K19</f>
      </c>
      <c r="BP19" s="663">
        <f>IF(((BO19&gt;1.5)*AND(BO19&lt;3))*AND((BO21&gt;1.5)*AND(BO21&lt;3)),1,0)</f>
        <v>0</v>
      </c>
      <c r="BQ19" s="663">
        <f>IF(A19="","",IF((AND((BP19=1),(OR(((BO19-BO21)&gt;0.03),((BO21-BO19)&gt;0.03))))),0,1))</f>
      </c>
      <c r="BR19" s="661">
        <f>IF(A19="","",(IF(((BO19&gt;1.5)*AND(BO19&lt;3))*(((BQ19=1)*AND(BP19=1))),BO19,"")))</f>
      </c>
      <c r="BS19" s="661"/>
      <c r="BT19" s="661">
        <f>IF(A19="","",(IF(BQ19=0,BO21,(IF((AND(BR$57=1,BP19)),BO21,BO19)))))</f>
      </c>
      <c r="BU19" s="661">
        <f>IF(AND(BP19,((NOT(BO19=BT19)))),1,0)</f>
        <v>0</v>
      </c>
      <c r="BV19" s="661"/>
      <c r="BW19" s="661"/>
      <c r="BX19" s="661"/>
      <c r="BY19" s="661"/>
      <c r="BZ19" s="661"/>
      <c r="CA19" s="661"/>
      <c r="CB19" s="661"/>
      <c r="CC19" s="661"/>
    </row>
    <row r="20" spans="1:81" s="65" customFormat="1" ht="15" customHeight="1">
      <c r="A20" s="364"/>
      <c r="B20" s="348">
        <f>A19+0.2</f>
        <v>0.2</v>
      </c>
      <c r="C20" s="713"/>
      <c r="D20" s="724"/>
      <c r="E20" s="724"/>
      <c r="F20" s="724"/>
      <c r="G20" s="280">
        <f>IF(A19="","",E20-F20)</f>
      </c>
      <c r="H20" s="724"/>
      <c r="I20" s="724"/>
      <c r="J20" s="280">
        <f t="shared" si="6"/>
        <v>0</v>
      </c>
      <c r="K20" s="281">
        <f>IF(A19="","",mndot_rounding_3(G20/(H20-I20)))</f>
      </c>
      <c r="L20" s="281">
        <f>IF(K20="","",BT20)</f>
      </c>
      <c r="M20" s="348"/>
      <c r="N20" s="280">
        <f>IF(K20="","",AR88)</f>
      </c>
      <c r="O20" s="583">
        <f t="shared" si="7"/>
      </c>
      <c r="P20" s="583">
        <f t="shared" si="8"/>
      </c>
      <c r="Q20" s="687">
        <f>IF(N20="","",IF(AV88="SEE SPEC","SEE SPEC",IF(AV88="low voids","low voids",AV88+1)))</f>
      </c>
      <c r="R20" s="687">
        <f t="shared" si="9"/>
      </c>
      <c r="S20" s="762">
        <f>IF(N20="","",IF($N$9="","BID $$ ??",AU88))</f>
      </c>
      <c r="T20" s="763"/>
      <c r="U20" s="1" t="e">
        <f>+IF($O$49=A19,$T$49,IF($O$44=A19,$T$44,1))</f>
        <v>#N/A</v>
      </c>
      <c r="V20" s="65">
        <f>IF(R7="",0,1)</f>
        <v>0</v>
      </c>
      <c r="X20" s="62"/>
      <c r="Y20" s="18"/>
      <c r="BB20" s="618">
        <v>84.6</v>
      </c>
      <c r="BC20" s="619">
        <v>0.5</v>
      </c>
      <c r="BD20" s="619">
        <v>0.91</v>
      </c>
      <c r="BE20" s="618">
        <v>84.6</v>
      </c>
      <c r="BF20" s="619">
        <v>0.5</v>
      </c>
      <c r="BG20" s="619">
        <v>0.7</v>
      </c>
      <c r="BH20" s="623">
        <f t="shared" si="5"/>
        <v>0.5</v>
      </c>
      <c r="BI20" s="623">
        <f t="shared" si="4"/>
        <v>0.91</v>
      </c>
      <c r="BM20" s="665">
        <f>+$A$19</f>
        <v>0</v>
      </c>
      <c r="BN20" s="661" t="s">
        <v>270</v>
      </c>
      <c r="BO20" s="665">
        <f aca="true" t="shared" si="10" ref="BO20:BO40">+K20</f>
      </c>
      <c r="BP20" s="663">
        <f>IF(((BO20&gt;1.5)*AND(BO20&lt;3))*AND((BO22&gt;1.5)*AND(BO22&lt;3)),1,0)</f>
        <v>0</v>
      </c>
      <c r="BQ20" s="663">
        <f>IF(A19="","",IF((AND((BP20=1),(OR(((BO20-BO22)&gt;0.03),((BO22-BO20)&gt;0.03))))),0,1))</f>
      </c>
      <c r="BR20" s="661">
        <f>IF(A19="","",(IF(((BO20&gt;1.5)*AND(BO20&lt;3))*(((BQ20=1)*AND(BP20=1))),BO20,"")))</f>
      </c>
      <c r="BS20" s="663"/>
      <c r="BT20" s="661">
        <f>IF(A19="","",(IF(BQ20=0,BO22,(IF((AND(BR$57=1,BP20)),BO22,BO20)))))</f>
      </c>
      <c r="BU20" s="661">
        <f>IF(AND(BP20,((NOT(BO20=BT20)))),1,0)</f>
        <v>0</v>
      </c>
      <c r="BV20" s="663"/>
      <c r="BW20" s="663"/>
      <c r="BX20" s="663"/>
      <c r="BY20" s="663"/>
      <c r="BZ20" s="663"/>
      <c r="CA20" s="663"/>
      <c r="CB20" s="663"/>
      <c r="CC20" s="663"/>
    </row>
    <row r="21" spans="1:81" s="65" customFormat="1" ht="15" customHeight="1">
      <c r="A21" s="365" t="s">
        <v>32</v>
      </c>
      <c r="B21" s="659">
        <f>IF(A19="","",(CONCATENATE(TEXT(A19+0.1,"0.0"),"C")))</f>
      </c>
      <c r="C21" s="713"/>
      <c r="D21" s="724"/>
      <c r="E21" s="724"/>
      <c r="F21" s="724"/>
      <c r="G21" s="280">
        <f>IF(E21="","",E21-F21)</f>
      </c>
      <c r="H21" s="724"/>
      <c r="I21" s="724"/>
      <c r="J21" s="280">
        <f t="shared" si="6"/>
        <v>0</v>
      </c>
      <c r="K21" s="281">
        <f>IF(D21="","",mndot_rounding_3(G21/(H21-I21)))</f>
      </c>
      <c r="L21" s="366">
        <f>IF(OR(BU19,BU20),"COMP. CORE USED","")</f>
      </c>
      <c r="M21" s="348"/>
      <c r="N21" s="280">
        <f>IF(K20="","",AR89)</f>
      </c>
      <c r="O21" s="583">
        <f t="shared" si="7"/>
      </c>
      <c r="P21" s="583">
        <f t="shared" si="8"/>
      </c>
      <c r="Q21" s="687">
        <f>IF(N21="","",IF(AV89="SEE SPEC","SEE SPEC",IF(AV89="low voids","low voids",AV89+1)))</f>
      </c>
      <c r="R21" s="687"/>
      <c r="S21" s="762">
        <f>IF(N21="","",IF($N$9="","BID $$ ??",AU89))</f>
      </c>
      <c r="T21" s="763"/>
      <c r="U21" s="1" t="e">
        <f>+IF($O$49=A19,$T$49,IF($O$44=A19,$T$44,1))</f>
        <v>#N/A</v>
      </c>
      <c r="X21" s="62"/>
      <c r="Y21" s="18"/>
      <c r="AG21" s="50"/>
      <c r="BB21" s="618"/>
      <c r="BC21" s="619"/>
      <c r="BD21" s="619"/>
      <c r="BE21" s="618"/>
      <c r="BF21" s="619"/>
      <c r="BG21" s="619"/>
      <c r="BH21" s="623"/>
      <c r="BI21" s="623"/>
      <c r="BM21" s="665">
        <f>+$A$19</f>
        <v>0</v>
      </c>
      <c r="BN21" s="663" t="s">
        <v>271</v>
      </c>
      <c r="BO21" s="665">
        <f>IF(D21="",0,(K21))</f>
        <v>0</v>
      </c>
      <c r="BP21" s="663">
        <f>IF(((BO19&gt;1.5)*AND(BO19&lt;3))*AND((BO21&gt;1.5)*AND(BO21&lt;3)),1,0)</f>
        <v>0</v>
      </c>
      <c r="BQ21" s="663">
        <f>IF(A19="","",IF((AND((BP19=1),(OR(((BO19-BO21)&gt;0.03),((BO21-BO19)&gt;0.03))))),0,1))</f>
      </c>
      <c r="BR21" s="661"/>
      <c r="BS21" s="663">
        <f>IF(((BR19&gt;1.5)*AND(BR19&lt;3))*AND((BO21&gt;1.5)*AND(BO21&lt;3)),BO21,"")</f>
      </c>
      <c r="BT21" s="663"/>
      <c r="BU21" s="663"/>
      <c r="BV21" s="663"/>
      <c r="BW21" s="663"/>
      <c r="BX21" s="663"/>
      <c r="BY21" s="663"/>
      <c r="BZ21" s="663"/>
      <c r="CA21" s="663"/>
      <c r="CB21" s="663"/>
      <c r="CC21" s="663"/>
    </row>
    <row r="22" spans="1:81" ht="15" customHeight="1" thickBot="1">
      <c r="A22" s="367"/>
      <c r="B22" s="368">
        <f>IF(A19="","",(CONCATENATE(TEXT(A19+0.2,"0.0"),"C")))</f>
      </c>
      <c r="C22" s="715"/>
      <c r="D22" s="725"/>
      <c r="E22" s="725"/>
      <c r="F22" s="725"/>
      <c r="G22" s="282">
        <f>IF(E22="","",E22-F22)</f>
      </c>
      <c r="H22" s="725"/>
      <c r="I22" s="725"/>
      <c r="J22" s="282">
        <f t="shared" si="6"/>
        <v>0</v>
      </c>
      <c r="K22" s="283">
        <f>IF(D22="","",mndot_rounding_3(G22/(H22-I22)))</f>
      </c>
      <c r="L22" s="283">
        <f>IF(K19="","",mndot_rounding_3((L19+L20)/2))</f>
      </c>
      <c r="M22" s="360">
        <f>IF(A19="","","= Ave.Gmb.")</f>
      </c>
      <c r="N22" s="282">
        <f>IF(K20="","",AR90)</f>
      </c>
      <c r="O22" s="584">
        <f t="shared" si="7"/>
      </c>
      <c r="P22" s="584">
        <f t="shared" si="8"/>
      </c>
      <c r="Q22" s="687">
        <f>IF(N22="","",IF(AV90="SEE SPEC","SEE SPEC",IF(AV90="low voids","low voids",AV90+1)))</f>
      </c>
      <c r="R22" s="688"/>
      <c r="S22" s="760">
        <f>IF(N22="","",IF($N$9="","BID $$ ??",AU90))</f>
      </c>
      <c r="T22" s="761"/>
      <c r="U22" s="1" t="e">
        <f>+IF($O$49=A19,$T$49,IF($O$44=A19,$T$44,1))</f>
        <v>#N/A</v>
      </c>
      <c r="AG22" s="7"/>
      <c r="BB22" s="618"/>
      <c r="BC22" s="619"/>
      <c r="BD22" s="619"/>
      <c r="BE22" s="618"/>
      <c r="BF22" s="619"/>
      <c r="BG22" s="619"/>
      <c r="BH22" s="623"/>
      <c r="BI22" s="623"/>
      <c r="BM22" s="665">
        <f>+$A$19</f>
        <v>0</v>
      </c>
      <c r="BN22" s="663" t="s">
        <v>271</v>
      </c>
      <c r="BO22" s="665">
        <f>IF(D22="",0,(K22))</f>
        <v>0</v>
      </c>
      <c r="BP22" s="663">
        <f>IF(((BO20&gt;1.5)*AND(BO20&lt;3))*AND((BO22&gt;1.5)*AND(BO22&lt;3)),1,0)</f>
        <v>0</v>
      </c>
      <c r="BQ22" s="663">
        <f>IF(A19="","",IF((AND((BP20=1),(OR(((BO20-BO22)&gt;0.03),((BO22-BO20)&gt;0.03))))),0,1))</f>
      </c>
      <c r="BR22" s="661"/>
      <c r="BS22" s="663">
        <f>IF(((BR20&gt;1.5)*AND(BR20&lt;3))*AND((BO22&gt;1.5)*AND(BO22&lt;3)),BO22,"")</f>
      </c>
      <c r="BT22" s="661"/>
      <c r="BU22" s="661"/>
      <c r="BV22" s="661"/>
      <c r="BW22" s="661"/>
      <c r="BX22" s="661"/>
      <c r="BY22" s="661"/>
      <c r="BZ22" s="661"/>
      <c r="CA22" s="661"/>
      <c r="CB22" s="661"/>
      <c r="CC22" s="661"/>
    </row>
    <row r="23" spans="1:81" ht="15" customHeight="1" thickTop="1">
      <c r="A23" s="364" t="e">
        <f>IF(R12&lt;2,"",A19+1)</f>
        <v>#N/A</v>
      </c>
      <c r="B23" s="348" t="e">
        <f>IF(A23="","",A23+0.1)</f>
        <v>#N/A</v>
      </c>
      <c r="C23" s="713"/>
      <c r="D23" s="724"/>
      <c r="E23" s="724"/>
      <c r="F23" s="724"/>
      <c r="G23" s="280" t="e">
        <f>IF(A23="","",E23-F23)</f>
        <v>#N/A</v>
      </c>
      <c r="H23" s="724"/>
      <c r="I23" s="724"/>
      <c r="J23" s="280">
        <f t="shared" si="6"/>
        <v>0</v>
      </c>
      <c r="K23" s="281" t="e">
        <f>IF(A23="","",mndot_rounding_3(G23/(H23-I23)))</f>
        <v>#N/A</v>
      </c>
      <c r="L23" s="281" t="e">
        <f>IF(K23="","",BT23)</f>
        <v>#N/A</v>
      </c>
      <c r="M23" s="362" t="e">
        <f>IF(K23="","",mndot_rounding_1((L26/$N$11)*100))</f>
        <v>#N/A</v>
      </c>
      <c r="N23" s="280" t="e">
        <f>IF(K23="","",AR91)</f>
        <v>#N/A</v>
      </c>
      <c r="O23" s="583" t="e">
        <f t="shared" si="7"/>
        <v>#N/A</v>
      </c>
      <c r="P23" s="583" t="e">
        <f t="shared" si="8"/>
        <v>#N/A</v>
      </c>
      <c r="Q23" s="735" t="e">
        <f>IF(N23="","",IF(AV91="SEE SPEC","SEE SPEC",IF(AV91="low voids","low voids",AV91+1)))</f>
        <v>#N/A</v>
      </c>
      <c r="R23" s="687" t="e">
        <f t="shared" si="9"/>
        <v>#N/A</v>
      </c>
      <c r="S23" s="762" t="e">
        <f>IF($R$12&lt;2,"",(IF(N23="","",IF($N$9="","BID $$ ??",AU91))))</f>
        <v>#N/A</v>
      </c>
      <c r="T23" s="763"/>
      <c r="U23" s="1" t="e">
        <f>+IF($O$49=$A$23,$T$49,IF($O$44=$A$23,$T$44,1))</f>
        <v>#N/A</v>
      </c>
      <c r="AG23" s="7"/>
      <c r="BB23" s="618">
        <v>84.7</v>
      </c>
      <c r="BC23" s="619">
        <v>0.5</v>
      </c>
      <c r="BD23" s="619">
        <v>0.91</v>
      </c>
      <c r="BE23" s="618">
        <v>84.7</v>
      </c>
      <c r="BF23" s="619">
        <v>0.5</v>
      </c>
      <c r="BG23" s="619">
        <v>0.7</v>
      </c>
      <c r="BH23" s="623">
        <f t="shared" si="5"/>
        <v>0.5</v>
      </c>
      <c r="BI23" s="623">
        <f t="shared" si="5"/>
        <v>0.91</v>
      </c>
      <c r="BM23" s="665">
        <f>+BM19+1</f>
        <v>1</v>
      </c>
      <c r="BN23" s="661" t="s">
        <v>270</v>
      </c>
      <c r="BO23" s="665" t="e">
        <f t="shared" si="10"/>
        <v>#N/A</v>
      </c>
      <c r="BP23" s="663" t="e">
        <f>IF(((BO23&gt;1.5)*AND(BO23&lt;3))*AND((BO25&gt;1.5)*AND(BO23&lt;3)),1,0)</f>
        <v>#N/A</v>
      </c>
      <c r="BQ23" s="663" t="e">
        <f>IF(A23="","",IF((AND((BP23=1),(OR(((BO23-BO25)&gt;0.03),((BO25-BO23)&gt;0.03))))),0,1))</f>
        <v>#N/A</v>
      </c>
      <c r="BR23" s="661" t="e">
        <f>IF(A23="","",(IF(((BO23&gt;1.5)*AND(BO23&lt;3))*(((BQ23=1)*AND(BP23=1))),BO23,"")))</f>
        <v>#N/A</v>
      </c>
      <c r="BS23" s="661"/>
      <c r="BT23" s="661" t="e">
        <f>IF(A23="","",(IF(BQ23=0,BO25,(IF((AND(BR$57=1,BP23)),BO25,BO23)))))</f>
        <v>#N/A</v>
      </c>
      <c r="BU23" s="661" t="e">
        <f>IF(AND(BP23,((NOT(BO23=BT23)))),1,0)</f>
        <v>#N/A</v>
      </c>
      <c r="BV23" s="661"/>
      <c r="BW23" s="661"/>
      <c r="BX23" s="661"/>
      <c r="BY23" s="661"/>
      <c r="BZ23" s="661"/>
      <c r="CA23" s="661"/>
      <c r="CB23" s="661"/>
      <c r="CC23" s="661"/>
    </row>
    <row r="24" spans="1:81" ht="15" customHeight="1">
      <c r="A24" s="364"/>
      <c r="B24" s="348" t="e">
        <f>IF(A23="","",A23+0.2)</f>
        <v>#N/A</v>
      </c>
      <c r="C24" s="713"/>
      <c r="D24" s="724"/>
      <c r="E24" s="724"/>
      <c r="F24" s="724"/>
      <c r="G24" s="280" t="e">
        <f>IF(A23="","",E24-F24)</f>
        <v>#N/A</v>
      </c>
      <c r="H24" s="724"/>
      <c r="I24" s="724"/>
      <c r="J24" s="280">
        <f t="shared" si="6"/>
        <v>0</v>
      </c>
      <c r="K24" s="281" t="e">
        <f>IF(A23="","",mndot_rounding_3(G24/(H24-I24)))</f>
        <v>#N/A</v>
      </c>
      <c r="L24" s="281" t="e">
        <f>IF(K24="","",BT24)</f>
        <v>#N/A</v>
      </c>
      <c r="M24" s="344"/>
      <c r="N24" s="280" t="e">
        <f>IF(K24="","",AR92)</f>
        <v>#N/A</v>
      </c>
      <c r="O24" s="583" t="e">
        <f t="shared" si="7"/>
        <v>#N/A</v>
      </c>
      <c r="P24" s="583" t="e">
        <f t="shared" si="8"/>
        <v>#N/A</v>
      </c>
      <c r="Q24" s="687" t="e">
        <f aca="true" t="shared" si="11" ref="Q24:Q42">IF(N24="","",IF(AV92="SEE SPEC","SEE SPEC",IF(AV92="low voids","low voids",AV92+1)))</f>
        <v>#N/A</v>
      </c>
      <c r="R24" s="687" t="e">
        <f t="shared" si="9"/>
        <v>#N/A</v>
      </c>
      <c r="S24" s="762" t="e">
        <f>IF($R$12&lt;2,"",(IF(N24="","",IF($N$9="","BID $$ ??",AU92))))</f>
        <v>#N/A</v>
      </c>
      <c r="T24" s="763"/>
      <c r="U24" s="1" t="e">
        <f>+IF($O$49=$A$23,$T$49,IF($O$44=$A$23,$T$44,1))</f>
        <v>#N/A</v>
      </c>
      <c r="BB24" s="618">
        <v>84.8</v>
      </c>
      <c r="BC24" s="619">
        <v>0.5</v>
      </c>
      <c r="BD24" s="619">
        <v>0.91</v>
      </c>
      <c r="BE24" s="618">
        <v>84.8</v>
      </c>
      <c r="BF24" s="619">
        <v>0.5</v>
      </c>
      <c r="BG24" s="619">
        <v>0.7</v>
      </c>
      <c r="BH24" s="623">
        <f t="shared" si="5"/>
        <v>0.5</v>
      </c>
      <c r="BI24" s="623">
        <f t="shared" si="5"/>
        <v>0.91</v>
      </c>
      <c r="BM24" s="665">
        <f>+BM20+1</f>
        <v>1</v>
      </c>
      <c r="BN24" s="661" t="s">
        <v>270</v>
      </c>
      <c r="BO24" s="665" t="e">
        <f t="shared" si="10"/>
        <v>#N/A</v>
      </c>
      <c r="BP24" s="663" t="e">
        <f>IF(((BO24&gt;1.5)*AND(BO24&lt;3))*AND((BO26&gt;1.5)*AND(BO26&lt;3)),1,0)</f>
        <v>#N/A</v>
      </c>
      <c r="BQ24" s="663" t="e">
        <f>IF(A23="","",IF((AND((BP24=1),(OR(((BO24-BO26)&gt;0.03),((BO26-BO24)&gt;0.03))))),0,1))</f>
        <v>#N/A</v>
      </c>
      <c r="BR24" s="661" t="e">
        <f>IF(A23="","",(IF(((BO24&gt;1.5)*AND(BO24&lt;3))*(((BQ24=1)*AND(BP24=1))),BO24,"")))</f>
        <v>#N/A</v>
      </c>
      <c r="BS24" s="661"/>
      <c r="BT24" s="661" t="e">
        <f>IF(A23="","",(IF(BQ24=0,BO26,(IF((AND(BR$57=1,BP24)),BO26,BO24)))))</f>
        <v>#N/A</v>
      </c>
      <c r="BU24" s="661" t="e">
        <f>IF(AND(BP24,((NOT(BO24=BT24)))),1,0)</f>
        <v>#N/A</v>
      </c>
      <c r="BV24" s="661"/>
      <c r="BW24" s="661"/>
      <c r="BX24" s="661"/>
      <c r="BY24" s="661"/>
      <c r="BZ24" s="661"/>
      <c r="CA24" s="661"/>
      <c r="CB24" s="661"/>
      <c r="CC24" s="661"/>
    </row>
    <row r="25" spans="1:81" ht="15" customHeight="1">
      <c r="A25" s="370" t="e">
        <f>IF(A23="","","COMP")</f>
        <v>#N/A</v>
      </c>
      <c r="B25" s="659" t="e">
        <f>IF(A23="","",(CONCATENATE(TEXT(A23+0.1,"0.0"),"C")))</f>
        <v>#N/A</v>
      </c>
      <c r="C25" s="713"/>
      <c r="D25" s="724"/>
      <c r="E25" s="724"/>
      <c r="F25" s="724"/>
      <c r="G25" s="280">
        <f>IF(E25="","",E25-F25)</f>
      </c>
      <c r="H25" s="724"/>
      <c r="I25" s="724"/>
      <c r="J25" s="280">
        <f t="shared" si="6"/>
        <v>0</v>
      </c>
      <c r="K25" s="281">
        <f>IF(D25="","",mndot_rounding_3(G25/(H25-I25)))</f>
      </c>
      <c r="L25" s="366" t="e">
        <f>IF(OR(BU23,BU24),"COMP. CORE USED","")</f>
        <v>#N/A</v>
      </c>
      <c r="M25" s="363"/>
      <c r="N25" s="280" t="e">
        <f>IF(K24="","",AR93)</f>
        <v>#N/A</v>
      </c>
      <c r="O25" s="583" t="e">
        <f t="shared" si="7"/>
        <v>#N/A</v>
      </c>
      <c r="P25" s="583" t="e">
        <f t="shared" si="8"/>
        <v>#N/A</v>
      </c>
      <c r="Q25" s="687" t="e">
        <f t="shared" si="11"/>
        <v>#N/A</v>
      </c>
      <c r="R25" s="687"/>
      <c r="S25" s="762" t="e">
        <f>IF($R$12&lt;2,"",(IF(N25="","",IF($N$9="","BID $$ ??",AU93))))</f>
        <v>#N/A</v>
      </c>
      <c r="T25" s="763"/>
      <c r="U25" s="1" t="e">
        <f>+IF($O$49=$A$23,$T$49,IF($O$44=$A$23,$T$44,1))</f>
        <v>#N/A</v>
      </c>
      <c r="BB25" s="618">
        <v>84.89999999999995</v>
      </c>
      <c r="BC25" s="619">
        <v>0.5</v>
      </c>
      <c r="BD25" s="619">
        <v>0.91</v>
      </c>
      <c r="BE25" s="618">
        <v>84.89999999999995</v>
      </c>
      <c r="BF25" s="619">
        <v>0.5</v>
      </c>
      <c r="BG25" s="619">
        <v>0.7</v>
      </c>
      <c r="BH25" s="623">
        <f t="shared" si="5"/>
        <v>0.5</v>
      </c>
      <c r="BI25" s="623">
        <f t="shared" si="5"/>
        <v>0.91</v>
      </c>
      <c r="BM25" s="665">
        <f>+BM21+1</f>
        <v>1</v>
      </c>
      <c r="BN25" s="663" t="s">
        <v>271</v>
      </c>
      <c r="BO25" s="665">
        <f>IF(D25="",0,(K25))</f>
        <v>0</v>
      </c>
      <c r="BP25" s="663" t="e">
        <f>IF(((BO23&gt;1.5)*AND(BO23&lt;3))*AND((BO25&gt;1.5)*AND(BO23&lt;3)),1,0)</f>
        <v>#N/A</v>
      </c>
      <c r="BQ25" s="663" t="e">
        <f>IF(A23="","",IF((AND((BP23=1),(OR(((BO23-BO25)&gt;0.03),((BO25-BO23)&gt;0.03))))),0,1))</f>
        <v>#N/A</v>
      </c>
      <c r="BR25" s="661"/>
      <c r="BS25" s="663" t="e">
        <f>IF(((BR23&gt;1.5)*AND(BR23&lt;3))*AND((BO25&gt;1.5)*AND(BO25&lt;3)),BO25,"")</f>
        <v>#N/A</v>
      </c>
      <c r="BT25" s="663"/>
      <c r="BU25" s="663"/>
      <c r="BV25" s="661"/>
      <c r="BW25" s="661"/>
      <c r="BX25" s="661"/>
      <c r="BY25" s="661"/>
      <c r="BZ25" s="661"/>
      <c r="CA25" s="661"/>
      <c r="CB25" s="661"/>
      <c r="CC25" s="661"/>
    </row>
    <row r="26" spans="1:81" ht="15" customHeight="1" thickBot="1">
      <c r="A26" s="367"/>
      <c r="B26" s="368" t="e">
        <f>IF(A23="","",(CONCATENATE(TEXT(A23+0.2,"0.0"),"C")))</f>
        <v>#N/A</v>
      </c>
      <c r="C26" s="715"/>
      <c r="D26" s="725"/>
      <c r="E26" s="725"/>
      <c r="F26" s="725"/>
      <c r="G26" s="282">
        <f>IF(E26="","",E26-F26)</f>
      </c>
      <c r="H26" s="725"/>
      <c r="I26" s="725"/>
      <c r="J26" s="282">
        <f t="shared" si="6"/>
        <v>0</v>
      </c>
      <c r="K26" s="283">
        <f>IF(D26="","",mndot_rounding_3(G26/(H26-I26)))</f>
      </c>
      <c r="L26" s="283" t="e">
        <f>IF(K23="","",mndot_rounding_3((L23+L24)/2))</f>
        <v>#N/A</v>
      </c>
      <c r="M26" s="360" t="e">
        <f>IF(A23="","","= Ave.Gmb.")</f>
        <v>#N/A</v>
      </c>
      <c r="N26" s="282" t="e">
        <f>IF(K24="","",AR94)</f>
        <v>#N/A</v>
      </c>
      <c r="O26" s="584" t="e">
        <f t="shared" si="7"/>
        <v>#N/A</v>
      </c>
      <c r="P26" s="584" t="e">
        <f t="shared" si="8"/>
        <v>#N/A</v>
      </c>
      <c r="Q26" s="687" t="e">
        <f t="shared" si="11"/>
        <v>#N/A</v>
      </c>
      <c r="R26" s="688"/>
      <c r="S26" s="760" t="e">
        <f>IF($R$12&lt;2,"",(IF(N26="","",IF($N$9="","BID $$ ??",AU94))))</f>
        <v>#N/A</v>
      </c>
      <c r="T26" s="761"/>
      <c r="U26" s="1" t="e">
        <f>+IF($O$49=$A$23,$T$49,IF($O$44=$A$23,$T$44,1))</f>
        <v>#N/A</v>
      </c>
      <c r="BB26" s="618">
        <v>84.99999999999994</v>
      </c>
      <c r="BC26" s="619">
        <v>0.5</v>
      </c>
      <c r="BD26" s="619">
        <v>0.95</v>
      </c>
      <c r="BE26" s="618">
        <v>84.99999999999994</v>
      </c>
      <c r="BF26" s="619">
        <v>0.5</v>
      </c>
      <c r="BG26" s="619">
        <v>0.85</v>
      </c>
      <c r="BH26" s="623">
        <f t="shared" si="5"/>
        <v>0.5</v>
      </c>
      <c r="BI26" s="623">
        <f t="shared" si="5"/>
        <v>0.95</v>
      </c>
      <c r="BM26" s="665">
        <f>+BM22+1</f>
        <v>1</v>
      </c>
      <c r="BN26" s="663" t="s">
        <v>271</v>
      </c>
      <c r="BO26" s="665">
        <f>IF(D26="",0,(K26))</f>
        <v>0</v>
      </c>
      <c r="BP26" s="663" t="e">
        <f>IF(((BO24&gt;1.5)*AND(BO24&lt;3))*AND((BO26&gt;1.5)*AND(BO26&lt;3)),1,0)</f>
        <v>#N/A</v>
      </c>
      <c r="BQ26" s="663" t="e">
        <f>IF(A23="","",IF((AND((BP24=1),(OR(((BO24-BO26)&gt;0.03),((BO26-BO24)&gt;0.03))))),0,1))</f>
        <v>#N/A</v>
      </c>
      <c r="BR26" s="661"/>
      <c r="BS26" s="663" t="e">
        <f>IF(((BR24&gt;1.5)*AND(BR24&lt;3))*AND((BO26&gt;1.5)*AND(BO26&lt;3)),BO26,"")</f>
        <v>#N/A</v>
      </c>
      <c r="BT26" s="661"/>
      <c r="BU26" s="661"/>
      <c r="BV26" s="661"/>
      <c r="BW26" s="661"/>
      <c r="BX26" s="661"/>
      <c r="BY26" s="661"/>
      <c r="BZ26" s="661"/>
      <c r="CA26" s="661"/>
      <c r="CB26" s="661"/>
      <c r="CC26" s="661"/>
    </row>
    <row r="27" spans="1:81" ht="15" customHeight="1" thickTop="1">
      <c r="A27" s="364" t="e">
        <f>IF(R12&lt;3,"",A23+1)</f>
        <v>#N/A</v>
      </c>
      <c r="B27" s="348" t="e">
        <f>IF(A27="","",A27+0.1)</f>
        <v>#N/A</v>
      </c>
      <c r="C27" s="713"/>
      <c r="D27" s="724"/>
      <c r="E27" s="724"/>
      <c r="F27" s="724"/>
      <c r="G27" s="280" t="e">
        <f>IF(A27="","",E27-F27)</f>
        <v>#N/A</v>
      </c>
      <c r="H27" s="724"/>
      <c r="I27" s="724"/>
      <c r="J27" s="280">
        <f t="shared" si="6"/>
        <v>0</v>
      </c>
      <c r="K27" s="281" t="e">
        <f>IF(A27="","",mndot_rounding_3(G27/(H27-I27)))</f>
        <v>#N/A</v>
      </c>
      <c r="L27" s="281" t="e">
        <f>IF(K27="","",BT27)</f>
        <v>#N/A</v>
      </c>
      <c r="M27" s="362" t="e">
        <f>IF(K27="","",mndot_rounding_1((L30/$N$11)*100))</f>
        <v>#N/A</v>
      </c>
      <c r="N27" s="280" t="e">
        <f>IF(K27="","",AR95)</f>
        <v>#N/A</v>
      </c>
      <c r="O27" s="583" t="e">
        <f t="shared" si="7"/>
        <v>#N/A</v>
      </c>
      <c r="P27" s="583" t="e">
        <f t="shared" si="8"/>
        <v>#N/A</v>
      </c>
      <c r="Q27" s="735" t="e">
        <f t="shared" si="11"/>
        <v>#N/A</v>
      </c>
      <c r="R27" s="687" t="e">
        <f t="shared" si="9"/>
        <v>#N/A</v>
      </c>
      <c r="S27" s="762" t="e">
        <f>IF($R$12&lt;3,"",(IF(N27="","",IF($N$9="","BID $$ ??",AU95))))</f>
        <v>#N/A</v>
      </c>
      <c r="T27" s="763"/>
      <c r="U27" s="1" t="e">
        <f>+IF($O$49=$A$27,$T$49,IF($O$44=$A$27,$T$44,1))</f>
        <v>#N/A</v>
      </c>
      <c r="BB27" s="618">
        <v>85.09999999999994</v>
      </c>
      <c r="BC27" s="619">
        <v>0.5</v>
      </c>
      <c r="BD27" s="619">
        <v>0.95</v>
      </c>
      <c r="BE27" s="618">
        <v>85.09999999999994</v>
      </c>
      <c r="BF27" s="619">
        <v>0.5</v>
      </c>
      <c r="BG27" s="619">
        <v>0.85</v>
      </c>
      <c r="BH27" s="623">
        <f t="shared" si="5"/>
        <v>0.5</v>
      </c>
      <c r="BI27" s="623">
        <f t="shared" si="5"/>
        <v>0.95</v>
      </c>
      <c r="BM27" s="665">
        <f>+BM23+1</f>
        <v>2</v>
      </c>
      <c r="BN27" s="661" t="s">
        <v>270</v>
      </c>
      <c r="BO27" s="665" t="e">
        <f t="shared" si="10"/>
        <v>#N/A</v>
      </c>
      <c r="BP27" s="663" t="e">
        <f>IF(((BO27&gt;1.5)*AND(BO27&lt;3))*AND((BO29&gt;1.5)*AND(BO27&lt;3)),1,0)</f>
        <v>#N/A</v>
      </c>
      <c r="BQ27" s="663" t="e">
        <f>IF(A27="","",IF((AND((BP27=1),(OR(((BO27-BO29)&gt;0.03),((BO29-BO27)&gt;0.03))))),0,1))</f>
        <v>#N/A</v>
      </c>
      <c r="BR27" s="661" t="e">
        <f>IF(A27="","",(IF(((BO27&gt;1.5)*AND(BO27&lt;3))*(((BQ27=1)*AND(BP27=1))),BO27,"")))</f>
        <v>#N/A</v>
      </c>
      <c r="BS27" s="661"/>
      <c r="BT27" s="661" t="e">
        <f>IF(A27="","",(IF(BQ27=0,BO29,(IF((AND(BR$57=1,BP27)),BO29,BO27)))))</f>
        <v>#N/A</v>
      </c>
      <c r="BU27" s="661" t="e">
        <f>IF(AND(BP27,((NOT(BO27=BT27)))),1,0)</f>
        <v>#N/A</v>
      </c>
      <c r="BV27" s="661"/>
      <c r="BW27" s="661"/>
      <c r="BX27" s="661"/>
      <c r="BY27" s="661"/>
      <c r="BZ27" s="661"/>
      <c r="CA27" s="661"/>
      <c r="CB27" s="661"/>
      <c r="CC27" s="661"/>
    </row>
    <row r="28" spans="1:81" ht="15" customHeight="1">
      <c r="A28" s="364"/>
      <c r="B28" s="348" t="e">
        <f>IF(A27="","",A27+0.2)</f>
        <v>#N/A</v>
      </c>
      <c r="C28" s="713"/>
      <c r="D28" s="724"/>
      <c r="E28" s="724"/>
      <c r="F28" s="724"/>
      <c r="G28" s="280" t="e">
        <f>IF(A27="","",E28-F28)</f>
        <v>#N/A</v>
      </c>
      <c r="H28" s="724"/>
      <c r="I28" s="724"/>
      <c r="J28" s="280">
        <f t="shared" si="6"/>
        <v>0</v>
      </c>
      <c r="K28" s="281" t="e">
        <f>IF(A27="","",mndot_rounding_3(G28/(H28-I28)))</f>
        <v>#N/A</v>
      </c>
      <c r="L28" s="281" t="e">
        <f>IF(K28="","",BT28)</f>
        <v>#N/A</v>
      </c>
      <c r="M28" s="344"/>
      <c r="N28" s="280" t="e">
        <f>IF(K28="","",AR96)</f>
        <v>#N/A</v>
      </c>
      <c r="O28" s="583" t="e">
        <f t="shared" si="7"/>
        <v>#N/A</v>
      </c>
      <c r="P28" s="583" t="e">
        <f t="shared" si="8"/>
        <v>#N/A</v>
      </c>
      <c r="Q28" s="687" t="e">
        <f t="shared" si="11"/>
        <v>#N/A</v>
      </c>
      <c r="R28" s="687" t="e">
        <f t="shared" si="9"/>
        <v>#N/A</v>
      </c>
      <c r="S28" s="762" t="e">
        <f>IF($R$12&lt;3,"",(IF(N28="","",IF($N$9="","BID $$ ??",AU96))))</f>
        <v>#N/A</v>
      </c>
      <c r="T28" s="763"/>
      <c r="U28" s="1" t="e">
        <f>+IF($O$49=$A$27,$T$49,IF($O$44=$A$27,$T$44,1))</f>
        <v>#N/A</v>
      </c>
      <c r="BB28" s="618">
        <v>85.19999999999993</v>
      </c>
      <c r="BC28" s="619">
        <v>0.5</v>
      </c>
      <c r="BD28" s="619">
        <v>0.95</v>
      </c>
      <c r="BE28" s="618">
        <v>85.19999999999993</v>
      </c>
      <c r="BF28" s="619">
        <v>0.5</v>
      </c>
      <c r="BG28" s="619">
        <v>0.85</v>
      </c>
      <c r="BH28" s="623">
        <f t="shared" si="5"/>
        <v>0.5</v>
      </c>
      <c r="BI28" s="623">
        <f t="shared" si="5"/>
        <v>0.95</v>
      </c>
      <c r="BM28" s="665">
        <f aca="true" t="shared" si="12" ref="BM28:BM42">+BM24+1</f>
        <v>2</v>
      </c>
      <c r="BN28" s="661" t="s">
        <v>270</v>
      </c>
      <c r="BO28" s="665" t="e">
        <f t="shared" si="10"/>
        <v>#N/A</v>
      </c>
      <c r="BP28" s="663" t="e">
        <f>IF(((BO28&gt;1.5)*AND(BO28&lt;3))*AND((BO30&gt;1.5)*AND(BO30&lt;3)),1,0)</f>
        <v>#N/A</v>
      </c>
      <c r="BQ28" s="663" t="e">
        <f>IF(A27="","",IF((AND((BP28=1),(OR(((BO28-BO30)&gt;0.03),((BO30-BO28)&gt;0.03))))),0,1))</f>
        <v>#N/A</v>
      </c>
      <c r="BR28" s="661" t="e">
        <f>IF(A27="","",(IF(((BO28&gt;1.5)*AND(BO28&lt;3))*(((BQ28=1)*AND(BP28=1))),BO28,"")))</f>
        <v>#N/A</v>
      </c>
      <c r="BS28" s="661"/>
      <c r="BT28" s="661" t="e">
        <f>IF(A27="","",(IF(BQ28=0,BO30,(IF((AND(BR$57=1,BP28)),BO30,BO28)))))</f>
        <v>#N/A</v>
      </c>
      <c r="BU28" s="661" t="e">
        <f>IF(AND(BP28,((NOT(BO28=BT28)))),1,0)</f>
        <v>#N/A</v>
      </c>
      <c r="BV28" s="661"/>
      <c r="BW28" s="661"/>
      <c r="BX28" s="661"/>
      <c r="BY28" s="661"/>
      <c r="BZ28" s="661"/>
      <c r="CA28" s="661"/>
      <c r="CB28" s="661"/>
      <c r="CC28" s="661"/>
    </row>
    <row r="29" spans="1:81" ht="15" customHeight="1">
      <c r="A29" s="370" t="e">
        <f>IF(A27=""," ","COMP")</f>
        <v>#N/A</v>
      </c>
      <c r="B29" s="659" t="e">
        <f>IF(A27="","",(CONCATENATE(TEXT(A27+0.1,"0.0"),"C")))</f>
        <v>#N/A</v>
      </c>
      <c r="C29" s="713"/>
      <c r="D29" s="724"/>
      <c r="E29" s="724"/>
      <c r="F29" s="724"/>
      <c r="G29" s="280">
        <f>IF(E29="","",E29-F29)</f>
      </c>
      <c r="H29" s="724"/>
      <c r="I29" s="724"/>
      <c r="J29" s="280">
        <f t="shared" si="6"/>
        <v>0</v>
      </c>
      <c r="K29" s="281">
        <f>IF(D29="","",mndot_rounding_3(G29/(H29-I29)))</f>
      </c>
      <c r="L29" s="366" t="e">
        <f>IF(OR(BU27,BU28),"COMP. CORE USED","")</f>
        <v>#N/A</v>
      </c>
      <c r="M29" s="344"/>
      <c r="N29" s="280" t="e">
        <f>IF(K28="","",AR97)</f>
        <v>#N/A</v>
      </c>
      <c r="O29" s="583" t="e">
        <f t="shared" si="7"/>
        <v>#N/A</v>
      </c>
      <c r="P29" s="583" t="e">
        <f t="shared" si="8"/>
        <v>#N/A</v>
      </c>
      <c r="Q29" s="687" t="e">
        <f t="shared" si="11"/>
        <v>#N/A</v>
      </c>
      <c r="R29" s="687"/>
      <c r="S29" s="762" t="e">
        <f>IF($R$12&lt;3,"",(IF(N29="","",IF($N$9="","BID $$ ??",AU97))))</f>
        <v>#N/A</v>
      </c>
      <c r="T29" s="763"/>
      <c r="U29" s="1" t="e">
        <f>+IF($O$49=$A$27,$T$49,IF($O$44=$A$27,$T$44,1))</f>
        <v>#N/A</v>
      </c>
      <c r="BB29" s="618">
        <v>85.29999999999993</v>
      </c>
      <c r="BC29" s="619">
        <v>0.5</v>
      </c>
      <c r="BD29" s="619">
        <v>0.95</v>
      </c>
      <c r="BE29" s="618">
        <v>85.29999999999993</v>
      </c>
      <c r="BF29" s="619">
        <v>0.5</v>
      </c>
      <c r="BG29" s="619">
        <v>0.85</v>
      </c>
      <c r="BH29" s="623">
        <f t="shared" si="5"/>
        <v>0.5</v>
      </c>
      <c r="BI29" s="623">
        <f t="shared" si="5"/>
        <v>0.95</v>
      </c>
      <c r="BM29" s="665">
        <f t="shared" si="12"/>
        <v>2</v>
      </c>
      <c r="BN29" s="663" t="s">
        <v>271</v>
      </c>
      <c r="BO29" s="665">
        <f>IF(D29="",0,(K29))</f>
        <v>0</v>
      </c>
      <c r="BP29" s="663" t="e">
        <f>IF(((BO27&gt;1.5)*AND(BO27&lt;3))*AND((BO29&gt;1.5)*AND(BO27&lt;3)),1,0)</f>
        <v>#N/A</v>
      </c>
      <c r="BQ29" s="663" t="e">
        <f>IF(A27="","",IF((AND((BP27=1),(OR(((BO27-BO29)&gt;0.03),((BO29-BO27)&gt;0.03))))),0,1))</f>
        <v>#N/A</v>
      </c>
      <c r="BR29" s="661"/>
      <c r="BS29" s="663" t="e">
        <f>IF(((BR27&gt;1.5)*AND(BR27&lt;3))*AND((BO29&gt;1.5)*AND(BO29&lt;3)),BO29,"")</f>
        <v>#N/A</v>
      </c>
      <c r="BT29" s="663"/>
      <c r="BU29" s="663"/>
      <c r="BV29" s="661"/>
      <c r="BW29" s="661"/>
      <c r="BX29" s="661"/>
      <c r="BY29" s="661"/>
      <c r="BZ29" s="661"/>
      <c r="CA29" s="661"/>
      <c r="CB29" s="661"/>
      <c r="CC29" s="661"/>
    </row>
    <row r="30" spans="1:81" ht="15" customHeight="1" thickBot="1">
      <c r="A30" s="367"/>
      <c r="B30" s="368" t="e">
        <f>IF(A27="","",(CONCATENATE(TEXT(A27+0.2,"0.0"),"C")))</f>
        <v>#N/A</v>
      </c>
      <c r="C30" s="715"/>
      <c r="D30" s="725"/>
      <c r="E30" s="725"/>
      <c r="F30" s="725"/>
      <c r="G30" s="282">
        <f>IF(E30="","",E30-F30)</f>
      </c>
      <c r="H30" s="725"/>
      <c r="I30" s="725"/>
      <c r="J30" s="282">
        <f t="shared" si="6"/>
        <v>0</v>
      </c>
      <c r="K30" s="283">
        <f>IF(D30="","",mndot_rounding_3(G30/(H30-I30)))</f>
      </c>
      <c r="L30" s="283" t="e">
        <f>IF(K27="","",mndot_rounding_3((L27+L28)/2))</f>
        <v>#N/A</v>
      </c>
      <c r="M30" s="360" t="e">
        <f>IF(A27="","","= Ave.Gmb.")</f>
        <v>#N/A</v>
      </c>
      <c r="N30" s="282" t="e">
        <f>IF(K28="","",AR98)</f>
        <v>#N/A</v>
      </c>
      <c r="O30" s="584" t="e">
        <f t="shared" si="7"/>
        <v>#N/A</v>
      </c>
      <c r="P30" s="584" t="e">
        <f t="shared" si="8"/>
        <v>#N/A</v>
      </c>
      <c r="Q30" s="687" t="e">
        <f t="shared" si="11"/>
        <v>#N/A</v>
      </c>
      <c r="R30" s="688"/>
      <c r="S30" s="760" t="e">
        <f>IF($R$12&lt;3,"",(IF(N30="","",IF($N$9="","BID $$ ??",AU98))))</f>
        <v>#N/A</v>
      </c>
      <c r="T30" s="761"/>
      <c r="U30" s="1" t="e">
        <f>+IF($O$49=$A$27,$T$49,IF($O$44=$A$27,$T$44,1))</f>
        <v>#N/A</v>
      </c>
      <c r="BB30" s="618">
        <v>85.39999999999992</v>
      </c>
      <c r="BC30" s="619">
        <v>0.5</v>
      </c>
      <c r="BD30" s="619">
        <v>0.95</v>
      </c>
      <c r="BE30" s="618">
        <v>85.39999999999992</v>
      </c>
      <c r="BF30" s="619">
        <v>0.5</v>
      </c>
      <c r="BG30" s="619">
        <v>0.85</v>
      </c>
      <c r="BH30" s="623">
        <f t="shared" si="5"/>
        <v>0.5</v>
      </c>
      <c r="BI30" s="623">
        <f t="shared" si="5"/>
        <v>0.95</v>
      </c>
      <c r="BM30" s="665">
        <f t="shared" si="12"/>
        <v>2</v>
      </c>
      <c r="BN30" s="663" t="s">
        <v>271</v>
      </c>
      <c r="BO30" s="665">
        <f>IF(D30="",0,(K30))</f>
        <v>0</v>
      </c>
      <c r="BP30" s="663" t="e">
        <f>IF(((BO28&gt;1.5)*AND(BO28&lt;3))*AND((BO30&gt;1.5)*AND(BO30&lt;3)),1,0)</f>
        <v>#N/A</v>
      </c>
      <c r="BQ30" s="663" t="e">
        <f>IF(A27="","",IF((AND((BP28=1),(OR(((BO28-BO30)&gt;0.03),((BO30-BO28)&gt;0.03))))),0,1))</f>
        <v>#N/A</v>
      </c>
      <c r="BR30" s="661"/>
      <c r="BS30" s="663" t="e">
        <f>IF(((BR28&gt;1.5)*AND(BR28&lt;3))*AND((BO30&gt;1.5)*AND(BO30&lt;3)),BO30,"")</f>
        <v>#N/A</v>
      </c>
      <c r="BT30" s="661"/>
      <c r="BU30" s="661"/>
      <c r="BV30" s="661"/>
      <c r="BW30" s="661"/>
      <c r="BX30" s="661"/>
      <c r="BY30" s="661"/>
      <c r="BZ30" s="661"/>
      <c r="CA30" s="661"/>
      <c r="CB30" s="661"/>
      <c r="CC30" s="661"/>
    </row>
    <row r="31" spans="1:81" ht="15" customHeight="1" thickTop="1">
      <c r="A31" s="364" t="e">
        <f>IF(R12&lt;4,"",A27+1)</f>
        <v>#N/A</v>
      </c>
      <c r="B31" s="348" t="e">
        <f>IF(A31="","",A31+0.1)</f>
        <v>#N/A</v>
      </c>
      <c r="C31" s="713"/>
      <c r="D31" s="724"/>
      <c r="E31" s="724"/>
      <c r="F31" s="724"/>
      <c r="G31" s="280" t="e">
        <f>IF(A31="","",E31-F31)</f>
        <v>#N/A</v>
      </c>
      <c r="H31" s="724"/>
      <c r="I31" s="724"/>
      <c r="J31" s="280">
        <f t="shared" si="6"/>
        <v>0</v>
      </c>
      <c r="K31" s="281" t="e">
        <f>IF(A31="","",mndot_rounding_3(G31/(H31-I31)))</f>
        <v>#N/A</v>
      </c>
      <c r="L31" s="281" t="e">
        <f>IF(K31="","",BT31)</f>
        <v>#N/A</v>
      </c>
      <c r="M31" s="362" t="e">
        <f>IF(K31="","",mndot_rounding_1((L34/$N$11)*100))</f>
        <v>#N/A</v>
      </c>
      <c r="N31" s="280" t="e">
        <f>IF(K31="","",AR99)</f>
        <v>#N/A</v>
      </c>
      <c r="O31" s="583" t="e">
        <f t="shared" si="7"/>
        <v>#N/A</v>
      </c>
      <c r="P31" s="583" t="e">
        <f t="shared" si="8"/>
        <v>#N/A</v>
      </c>
      <c r="Q31" s="735" t="e">
        <f t="shared" si="11"/>
        <v>#N/A</v>
      </c>
      <c r="R31" s="687" t="e">
        <f t="shared" si="9"/>
        <v>#N/A</v>
      </c>
      <c r="S31" s="762" t="e">
        <f>IF($R$12&lt;4,"",(IF(N31="","",IF($N$9="","BID $$ ??",AU99))))</f>
        <v>#N/A</v>
      </c>
      <c r="T31" s="763"/>
      <c r="U31" s="1" t="e">
        <f>+IF($O$49=$A$31,$T$49,IF($O$44=$A$31,$T$44,1))</f>
        <v>#N/A</v>
      </c>
      <c r="BB31" s="618">
        <v>85.49999999999991</v>
      </c>
      <c r="BC31" s="619">
        <v>0.5</v>
      </c>
      <c r="BD31" s="619">
        <v>0.98</v>
      </c>
      <c r="BE31" s="618">
        <v>85.49999999999991</v>
      </c>
      <c r="BF31" s="619">
        <v>0.5</v>
      </c>
      <c r="BG31" s="619">
        <v>0.91</v>
      </c>
      <c r="BH31" s="623">
        <f t="shared" si="5"/>
        <v>0.5</v>
      </c>
      <c r="BI31" s="623">
        <f t="shared" si="5"/>
        <v>0.98</v>
      </c>
      <c r="BM31" s="665">
        <f>+BM27+1</f>
        <v>3</v>
      </c>
      <c r="BN31" s="661" t="s">
        <v>270</v>
      </c>
      <c r="BO31" s="665" t="e">
        <f t="shared" si="10"/>
        <v>#N/A</v>
      </c>
      <c r="BP31" s="663" t="e">
        <f>IF(((BO31&gt;1.5)*AND(BO31&lt;3))*AND((BO33&gt;1.5)*AND(BO31&lt;3)),1,0)</f>
        <v>#N/A</v>
      </c>
      <c r="BQ31" s="663" t="e">
        <f>IF(A31="","",IF((AND((BP31=1),(OR(((BO31-BO33)&gt;0.03),((BO33-BO31)&gt;0.03))))),0,1))</f>
        <v>#N/A</v>
      </c>
      <c r="BR31" s="661" t="e">
        <f>IF(A31="","",(IF(((BO31&gt;1.5)*AND(BO31&lt;3))*(((BQ31=1)*AND(BP31=1))),BO31,"")))</f>
        <v>#N/A</v>
      </c>
      <c r="BS31" s="661"/>
      <c r="BT31" s="661" t="e">
        <f>IF(A31="","",(IF(BQ31=0,BO33,(IF((AND(BR$57=1,BP31)),BO33,BO31)))))</f>
        <v>#N/A</v>
      </c>
      <c r="BU31" s="661" t="e">
        <f>IF(AND(BP31,((NOT(BO31=BT31)))),1,0)</f>
        <v>#N/A</v>
      </c>
      <c r="BV31" s="661"/>
      <c r="BW31" s="661"/>
      <c r="BX31" s="661"/>
      <c r="BY31" s="661"/>
      <c r="BZ31" s="661"/>
      <c r="CA31" s="661"/>
      <c r="CB31" s="661"/>
      <c r="CC31" s="661"/>
    </row>
    <row r="32" spans="1:81" ht="15" customHeight="1">
      <c r="A32" s="364"/>
      <c r="B32" s="348" t="e">
        <f>IF(A31="","",A31+0.2)</f>
        <v>#N/A</v>
      </c>
      <c r="C32" s="713"/>
      <c r="D32" s="724"/>
      <c r="E32" s="724"/>
      <c r="F32" s="724"/>
      <c r="G32" s="280" t="e">
        <f>IF(A31="","",E32-F32)</f>
        <v>#N/A</v>
      </c>
      <c r="H32" s="724"/>
      <c r="I32" s="724"/>
      <c r="J32" s="280">
        <f t="shared" si="6"/>
        <v>0</v>
      </c>
      <c r="K32" s="281" t="e">
        <f>IF(A31="","",mndot_rounding_3(G32/(H32-I32)))</f>
        <v>#N/A</v>
      </c>
      <c r="L32" s="281" t="e">
        <f>IF(K32="","",BT32)</f>
        <v>#N/A</v>
      </c>
      <c r="M32" s="344"/>
      <c r="N32" s="280" t="e">
        <f>IF(K32="","",AR100)</f>
        <v>#N/A</v>
      </c>
      <c r="O32" s="583" t="e">
        <f t="shared" si="7"/>
        <v>#N/A</v>
      </c>
      <c r="P32" s="583" t="e">
        <f t="shared" si="8"/>
        <v>#N/A</v>
      </c>
      <c r="Q32" s="687" t="e">
        <f t="shared" si="11"/>
        <v>#N/A</v>
      </c>
      <c r="R32" s="687" t="e">
        <f t="shared" si="9"/>
        <v>#N/A</v>
      </c>
      <c r="S32" s="762" t="e">
        <f>IF($R$12&lt;4,"",(IF(N32="","",IF($N$9="","BID $$ ??",AU100))))</f>
        <v>#N/A</v>
      </c>
      <c r="T32" s="763"/>
      <c r="U32" s="1" t="e">
        <f>+IF($O$49=$A$31,$T$49,IF($O$44=$A$31,$T$44,1))</f>
        <v>#N/A</v>
      </c>
      <c r="BB32" s="618">
        <v>85.59999999999991</v>
      </c>
      <c r="BC32" s="619">
        <v>0.5</v>
      </c>
      <c r="BD32" s="619">
        <v>0.98</v>
      </c>
      <c r="BE32" s="618">
        <v>85.59999999999991</v>
      </c>
      <c r="BF32" s="619">
        <v>0.5</v>
      </c>
      <c r="BG32" s="619">
        <v>0.91</v>
      </c>
      <c r="BH32" s="623">
        <f t="shared" si="5"/>
        <v>0.5</v>
      </c>
      <c r="BI32" s="623">
        <f t="shared" si="5"/>
        <v>0.98</v>
      </c>
      <c r="BM32" s="665">
        <f t="shared" si="12"/>
        <v>3</v>
      </c>
      <c r="BN32" s="661" t="s">
        <v>270</v>
      </c>
      <c r="BO32" s="665" t="e">
        <f t="shared" si="10"/>
        <v>#N/A</v>
      </c>
      <c r="BP32" s="663" t="e">
        <f>IF(((BO32&gt;1.5)*AND(BO32&lt;3))*AND((BO34&gt;1.5)*AND(BO34&lt;3)),1,0)</f>
        <v>#N/A</v>
      </c>
      <c r="BQ32" s="663" t="e">
        <f>IF(A31="","",IF((AND((BP32=1),(OR(((BO32-BO34)&gt;0.03),((BO34-BO32)&gt;0.03))))),0,1))</f>
        <v>#N/A</v>
      </c>
      <c r="BR32" s="661" t="e">
        <f>IF(A31="","",(IF(((BO32&gt;1.5)*AND(BO32&lt;3))*(((BQ32=1)*AND(BP32=1))),BO32,"")))</f>
        <v>#N/A</v>
      </c>
      <c r="BS32" s="661"/>
      <c r="BT32" s="661" t="e">
        <f>IF(A31="","",(IF(BQ32=0,BO34,(IF((AND(BR$57=1,BP32)),BO34,BO32)))))</f>
        <v>#N/A</v>
      </c>
      <c r="BU32" s="661" t="e">
        <f>IF(AND(BP32,((NOT(BO32=BT32)))),1,0)</f>
        <v>#N/A</v>
      </c>
      <c r="BV32" s="661"/>
      <c r="BW32" s="661"/>
      <c r="BX32" s="661"/>
      <c r="BY32" s="661"/>
      <c r="BZ32" s="661"/>
      <c r="CA32" s="661"/>
      <c r="CB32" s="661"/>
      <c r="CC32" s="661"/>
    </row>
    <row r="33" spans="1:81" ht="15" customHeight="1">
      <c r="A33" s="370" t="e">
        <f>IF(A31=""," ","COMP")</f>
        <v>#N/A</v>
      </c>
      <c r="B33" s="659" t="e">
        <f>IF(A31="","",(CONCATENATE(TEXT(A31+0.1,"0.0"),"C")))</f>
        <v>#N/A</v>
      </c>
      <c r="C33" s="713"/>
      <c r="D33" s="724"/>
      <c r="E33" s="724"/>
      <c r="F33" s="724"/>
      <c r="G33" s="280">
        <f>IF(E33="","",E33-F33)</f>
      </c>
      <c r="H33" s="724"/>
      <c r="I33" s="724"/>
      <c r="J33" s="280">
        <f t="shared" si="6"/>
        <v>0</v>
      </c>
      <c r="K33" s="281">
        <f>IF(D33="","",mndot_rounding_3(G33/(H33-I33)))</f>
      </c>
      <c r="L33" s="366" t="e">
        <f>IF(OR(BU31,BU32),"COMP. CORE USED","")</f>
        <v>#N/A</v>
      </c>
      <c r="M33" s="371"/>
      <c r="N33" s="280" t="e">
        <f>IF(K32="","",AR101)</f>
        <v>#N/A</v>
      </c>
      <c r="O33" s="583" t="e">
        <f t="shared" si="7"/>
        <v>#N/A</v>
      </c>
      <c r="P33" s="583" t="e">
        <f t="shared" si="8"/>
        <v>#N/A</v>
      </c>
      <c r="Q33" s="687" t="e">
        <f t="shared" si="11"/>
        <v>#N/A</v>
      </c>
      <c r="R33" s="687"/>
      <c r="S33" s="762" t="e">
        <f>IF($R$12&lt;4,"",(IF(N33="","",IF($N$9="","BID $$ ??",AU101))))</f>
        <v>#N/A</v>
      </c>
      <c r="T33" s="763"/>
      <c r="U33" s="1" t="e">
        <f>+IF($O$49=$A$31,$T$49,IF($O$44=$A$31,$T$44,1))</f>
        <v>#N/A</v>
      </c>
      <c r="BB33" s="618">
        <v>85.6999999999999</v>
      </c>
      <c r="BC33" s="619">
        <v>0.5</v>
      </c>
      <c r="BD33" s="619">
        <v>0.98</v>
      </c>
      <c r="BE33" s="618">
        <v>85.6999999999999</v>
      </c>
      <c r="BF33" s="619">
        <v>0.5</v>
      </c>
      <c r="BG33" s="619">
        <v>0.91</v>
      </c>
      <c r="BH33" s="623">
        <f t="shared" si="5"/>
        <v>0.5</v>
      </c>
      <c r="BI33" s="623">
        <f t="shared" si="5"/>
        <v>0.98</v>
      </c>
      <c r="BM33" s="665">
        <f t="shared" si="12"/>
        <v>3</v>
      </c>
      <c r="BN33" s="663" t="s">
        <v>271</v>
      </c>
      <c r="BO33" s="665">
        <f>IF(D33="",0,(K33))</f>
        <v>0</v>
      </c>
      <c r="BP33" s="663" t="e">
        <f>IF(((BO31&gt;1.5)*AND(BO31&lt;3))*AND((BO33&gt;1.5)*AND(BO31&lt;3)),1,0)</f>
        <v>#N/A</v>
      </c>
      <c r="BQ33" s="663" t="e">
        <f>IF(A31="","",IF((AND((BP31=1),(OR(((BO31-BO33)&gt;0.03),((BO33-BO31)&gt;0.03))))),0,1))</f>
        <v>#N/A</v>
      </c>
      <c r="BR33" s="661"/>
      <c r="BS33" s="663" t="e">
        <f>IF(((BR31&gt;1.5)*AND(BR31&lt;3))*AND((BO33&gt;1.5)*AND(BO33&lt;3)),BO33,"")</f>
        <v>#N/A</v>
      </c>
      <c r="BT33" s="663"/>
      <c r="BU33" s="663"/>
      <c r="BV33" s="661"/>
      <c r="BW33" s="661"/>
      <c r="BX33" s="661"/>
      <c r="BY33" s="661"/>
      <c r="BZ33" s="661"/>
      <c r="CA33" s="661"/>
      <c r="CB33" s="661"/>
      <c r="CC33" s="661"/>
    </row>
    <row r="34" spans="1:81" ht="15" customHeight="1" thickBot="1">
      <c r="A34" s="367"/>
      <c r="B34" s="368" t="e">
        <f>IF(A31="","",(CONCATENATE(TEXT(A31+0.2,"0.0"),"C")))</f>
        <v>#N/A</v>
      </c>
      <c r="C34" s="715"/>
      <c r="D34" s="725"/>
      <c r="E34" s="725"/>
      <c r="F34" s="725"/>
      <c r="G34" s="282">
        <f>IF(E34="","",E34-F34)</f>
      </c>
      <c r="H34" s="725"/>
      <c r="I34" s="725"/>
      <c r="J34" s="282">
        <f t="shared" si="6"/>
        <v>0</v>
      </c>
      <c r="K34" s="283">
        <f>IF(D34="","",mndot_rounding_3(G34/(H34-I34)))</f>
      </c>
      <c r="L34" s="283" t="e">
        <f>IF(K31="","",mndot_rounding_3((L31+L32)/2))</f>
        <v>#N/A</v>
      </c>
      <c r="M34" s="360" t="e">
        <f>IF(A31="","","= Ave.Gmb.")</f>
        <v>#N/A</v>
      </c>
      <c r="N34" s="282" t="e">
        <f>IF(K32="","",AR102)</f>
        <v>#N/A</v>
      </c>
      <c r="O34" s="584" t="e">
        <f t="shared" si="7"/>
        <v>#N/A</v>
      </c>
      <c r="P34" s="584" t="e">
        <f t="shared" si="8"/>
        <v>#N/A</v>
      </c>
      <c r="Q34" s="687" t="e">
        <f t="shared" si="11"/>
        <v>#N/A</v>
      </c>
      <c r="R34" s="688"/>
      <c r="S34" s="760" t="e">
        <f>IF($R$12&lt;4,"",(IF(N34="","",IF($N$9="","BID $$ ??",AU102))))</f>
        <v>#N/A</v>
      </c>
      <c r="T34" s="761"/>
      <c r="U34" s="1" t="e">
        <f>+IF($O$49=$A$31,$T$49,IF($O$44=$A$31,$T$44,1))</f>
        <v>#N/A</v>
      </c>
      <c r="X34" s="62"/>
      <c r="Y34" s="67"/>
      <c r="BB34" s="618">
        <v>85.7999999999999</v>
      </c>
      <c r="BC34" s="619">
        <v>0.5</v>
      </c>
      <c r="BD34" s="619">
        <v>0.98</v>
      </c>
      <c r="BE34" s="618">
        <v>85.7999999999999</v>
      </c>
      <c r="BF34" s="619">
        <v>0.5</v>
      </c>
      <c r="BG34" s="619">
        <v>0.91</v>
      </c>
      <c r="BH34" s="623">
        <f t="shared" si="5"/>
        <v>0.5</v>
      </c>
      <c r="BI34" s="623">
        <f t="shared" si="5"/>
        <v>0.98</v>
      </c>
      <c r="BM34" s="665">
        <f t="shared" si="12"/>
        <v>3</v>
      </c>
      <c r="BN34" s="663" t="s">
        <v>271</v>
      </c>
      <c r="BO34" s="665">
        <f>IF(D34="",0,(K34))</f>
        <v>0</v>
      </c>
      <c r="BP34" s="663" t="e">
        <f>IF(((BO32&gt;1.5)*AND(BO32&lt;3))*AND((BO34&gt;1.5)*AND(BO34&lt;3)),1,0)</f>
        <v>#N/A</v>
      </c>
      <c r="BQ34" s="663" t="e">
        <f>IF(A31="","",IF((AND((BP32=1),(OR(((BO32-BO34)&gt;0.03),((BO34-BO32)&gt;0.03))))),0,1))</f>
        <v>#N/A</v>
      </c>
      <c r="BR34" s="661"/>
      <c r="BS34" s="663" t="e">
        <f>IF(((BR32&gt;1.5)*AND(BR32&lt;3))*AND((BO34&gt;1.5)*AND(BO34&lt;3)),BO34,"")</f>
        <v>#N/A</v>
      </c>
      <c r="BT34" s="661"/>
      <c r="BU34" s="661"/>
      <c r="BV34" s="661"/>
      <c r="BW34" s="661"/>
      <c r="BX34" s="661"/>
      <c r="BY34" s="661"/>
      <c r="BZ34" s="661"/>
      <c r="CA34" s="661"/>
      <c r="CB34" s="661"/>
      <c r="CC34" s="661"/>
    </row>
    <row r="35" spans="1:81" ht="15" customHeight="1" thickTop="1">
      <c r="A35" s="364" t="e">
        <f>IF(R12&lt;5,"",A31+1)</f>
        <v>#N/A</v>
      </c>
      <c r="B35" s="348" t="e">
        <f>IF(A35="","",A35+0.1)</f>
        <v>#N/A</v>
      </c>
      <c r="C35" s="713"/>
      <c r="D35" s="724"/>
      <c r="E35" s="724"/>
      <c r="F35" s="724"/>
      <c r="G35" s="280" t="e">
        <f>IF(A35="","",E35-F35)</f>
        <v>#N/A</v>
      </c>
      <c r="H35" s="724"/>
      <c r="I35" s="724"/>
      <c r="J35" s="280">
        <f t="shared" si="6"/>
        <v>0</v>
      </c>
      <c r="K35" s="281" t="e">
        <f>IF(A35="","",mndot_rounding_3(G35/(H35-I35)))</f>
        <v>#N/A</v>
      </c>
      <c r="L35" s="281" t="e">
        <f>IF(K35="","",BT35)</f>
        <v>#N/A</v>
      </c>
      <c r="M35" s="362" t="e">
        <f>IF(K35="","",mndot_rounding_1((L38/$N$11)*100))</f>
        <v>#N/A</v>
      </c>
      <c r="N35" s="280" t="e">
        <f>IF(K35="","",AR103)</f>
        <v>#N/A</v>
      </c>
      <c r="O35" s="583" t="e">
        <f t="shared" si="7"/>
        <v>#N/A</v>
      </c>
      <c r="P35" s="583" t="e">
        <f t="shared" si="8"/>
        <v>#N/A</v>
      </c>
      <c r="Q35" s="735" t="e">
        <f t="shared" si="11"/>
        <v>#N/A</v>
      </c>
      <c r="R35" s="687" t="e">
        <f t="shared" si="9"/>
        <v>#N/A</v>
      </c>
      <c r="S35" s="762" t="e">
        <f>IF($R$12&lt;5,"",(IF(N35="","",IF($N$9="","BID $$ ??",AU103))))</f>
        <v>#N/A</v>
      </c>
      <c r="T35" s="763"/>
      <c r="U35" s="1" t="e">
        <f>+IF($O$49=$A$35,$T$49,IF($O$44=$A$35,$T$44,1))</f>
        <v>#N/A</v>
      </c>
      <c r="X35" s="67"/>
      <c r="Y35" s="67"/>
      <c r="BB35" s="618">
        <v>85.89999999999989</v>
      </c>
      <c r="BC35" s="619">
        <v>0.5</v>
      </c>
      <c r="BD35" s="619">
        <v>0.98</v>
      </c>
      <c r="BE35" s="618">
        <v>85.89999999999989</v>
      </c>
      <c r="BF35" s="619">
        <v>0.5</v>
      </c>
      <c r="BG35" s="619">
        <v>0.91</v>
      </c>
      <c r="BH35" s="623">
        <f t="shared" si="5"/>
        <v>0.5</v>
      </c>
      <c r="BI35" s="623">
        <f t="shared" si="5"/>
        <v>0.98</v>
      </c>
      <c r="BM35" s="665">
        <f>+BM31+1</f>
        <v>4</v>
      </c>
      <c r="BN35" s="661" t="s">
        <v>270</v>
      </c>
      <c r="BO35" s="665" t="e">
        <f t="shared" si="10"/>
        <v>#N/A</v>
      </c>
      <c r="BP35" s="663" t="e">
        <f>IF(((BO35&gt;1.5)*AND(BO35&lt;3))*AND((BO37&gt;1.5)*AND(BO35&lt;3)),1,0)</f>
        <v>#N/A</v>
      </c>
      <c r="BQ35" s="663" t="e">
        <f>IF(A35="","",IF((AND((BP35=1),(OR(((BO35-BO37)&gt;0.03),((BO37-BO35)&gt;0.03))))),0,1))</f>
        <v>#N/A</v>
      </c>
      <c r="BR35" s="661" t="e">
        <f>IF(A35="","",(IF(((BO35&gt;1.5)*AND(BO35&lt;3))*(((BQ35=1)*AND(BP35=1))),BO35,"")))</f>
        <v>#N/A</v>
      </c>
      <c r="BS35" s="661"/>
      <c r="BT35" s="661" t="e">
        <f>IF(A35="","",(IF(BQ35=0,BO37,(IF((AND(BR$57=1,BP35)),BO37,BO35)))))</f>
        <v>#N/A</v>
      </c>
      <c r="BU35" s="661" t="e">
        <f>IF(AND(BP35,((NOT(BO35=BT35)))),1,0)</f>
        <v>#N/A</v>
      </c>
      <c r="BV35" s="661"/>
      <c r="BW35" s="661"/>
      <c r="BX35" s="661"/>
      <c r="BY35" s="661"/>
      <c r="BZ35" s="661"/>
      <c r="CA35" s="661"/>
      <c r="CB35" s="661"/>
      <c r="CC35" s="661"/>
    </row>
    <row r="36" spans="1:81" ht="15" customHeight="1">
      <c r="A36" s="364"/>
      <c r="B36" s="348" t="e">
        <f>IF(A35="","",A35+0.2)</f>
        <v>#N/A</v>
      </c>
      <c r="C36" s="713"/>
      <c r="D36" s="724"/>
      <c r="E36" s="724"/>
      <c r="F36" s="724"/>
      <c r="G36" s="280" t="e">
        <f>IF(A35="","",E36-F36)</f>
        <v>#N/A</v>
      </c>
      <c r="H36" s="724"/>
      <c r="I36" s="724"/>
      <c r="J36" s="280">
        <f t="shared" si="6"/>
        <v>0</v>
      </c>
      <c r="K36" s="281" t="e">
        <f>IF(A35="","",mndot_rounding_3(G36/(H36-I36)))</f>
        <v>#N/A</v>
      </c>
      <c r="L36" s="281" t="e">
        <f>IF(K36="","",BT36)</f>
        <v>#N/A</v>
      </c>
      <c r="M36" s="344"/>
      <c r="N36" s="280" t="e">
        <f>IF(K36="","",AR104)</f>
        <v>#N/A</v>
      </c>
      <c r="O36" s="583" t="e">
        <f t="shared" si="7"/>
        <v>#N/A</v>
      </c>
      <c r="P36" s="583" t="e">
        <f t="shared" si="8"/>
        <v>#N/A</v>
      </c>
      <c r="Q36" s="687" t="e">
        <f t="shared" si="11"/>
        <v>#N/A</v>
      </c>
      <c r="R36" s="687" t="e">
        <f t="shared" si="9"/>
        <v>#N/A</v>
      </c>
      <c r="S36" s="762" t="e">
        <f>IF($R$12&lt;5,"",(IF(N36="","",IF($N$9="","BID $$ ??",AU104))))</f>
        <v>#N/A</v>
      </c>
      <c r="T36" s="763"/>
      <c r="U36" s="1" t="e">
        <f>+IF($O$49=$A$35,$T$49,IF($O$44=$A$35,$T$44,1))</f>
        <v>#N/A</v>
      </c>
      <c r="X36" s="67"/>
      <c r="Y36" s="67"/>
      <c r="BB36" s="618">
        <v>85.99999999999989</v>
      </c>
      <c r="BC36" s="619">
        <v>0.7</v>
      </c>
      <c r="BD36" s="619">
        <v>0.98</v>
      </c>
      <c r="BE36" s="618">
        <v>85.99999999999989</v>
      </c>
      <c r="BF36" s="619">
        <v>0.5</v>
      </c>
      <c r="BG36" s="619">
        <v>0.95</v>
      </c>
      <c r="BH36" s="623">
        <f t="shared" si="5"/>
        <v>0.7</v>
      </c>
      <c r="BI36" s="623">
        <f t="shared" si="5"/>
        <v>0.98</v>
      </c>
      <c r="BM36" s="665">
        <f t="shared" si="12"/>
        <v>4</v>
      </c>
      <c r="BN36" s="661" t="s">
        <v>270</v>
      </c>
      <c r="BO36" s="665" t="e">
        <f t="shared" si="10"/>
        <v>#N/A</v>
      </c>
      <c r="BP36" s="663" t="e">
        <f>IF(((BO36&gt;1.5)*AND(BO36&lt;3))*AND((BO38&gt;1.5)*AND(BO38&lt;3)),1,0)</f>
        <v>#N/A</v>
      </c>
      <c r="BQ36" s="663" t="e">
        <f>IF(A35="","",IF((AND((BP36=1),(OR(((BO36-BO38)&gt;0.03),((BO38-BO36)&gt;0.03))))),0,1))</f>
        <v>#N/A</v>
      </c>
      <c r="BR36" s="661" t="e">
        <f>IF(A35="","",(IF(((BO36&gt;1.5)*AND(BO36&lt;3))*(((BQ36=1)*AND(BP36=1))),BO36,"")))</f>
        <v>#N/A</v>
      </c>
      <c r="BS36" s="661"/>
      <c r="BT36" s="661" t="e">
        <f>IF(A35="","",(IF(BQ36=0,BO38,(IF((AND(BR$57=1,BP36)),BO38,BO36)))))</f>
        <v>#N/A</v>
      </c>
      <c r="BU36" s="661" t="e">
        <f>IF(AND(BP36,((NOT(BO36=BT36)))),1,0)</f>
        <v>#N/A</v>
      </c>
      <c r="BV36" s="661"/>
      <c r="BW36" s="661"/>
      <c r="BX36" s="661"/>
      <c r="BY36" s="661"/>
      <c r="BZ36" s="661"/>
      <c r="CA36" s="661"/>
      <c r="CB36" s="661"/>
      <c r="CC36" s="661"/>
    </row>
    <row r="37" spans="1:81" ht="15" customHeight="1">
      <c r="A37" s="370" t="e">
        <f>IF(A35=""," ","COMP")</f>
        <v>#N/A</v>
      </c>
      <c r="B37" s="659" t="e">
        <f>IF(A35="","",(CONCATENATE(TEXT(A35+0.1,"0.0"),"C")))</f>
        <v>#N/A</v>
      </c>
      <c r="C37" s="713"/>
      <c r="D37" s="724"/>
      <c r="E37" s="724"/>
      <c r="F37" s="724"/>
      <c r="G37" s="280">
        <f>IF(E37="","",E37-F37)</f>
      </c>
      <c r="H37" s="724"/>
      <c r="I37" s="724"/>
      <c r="J37" s="280">
        <f t="shared" si="6"/>
        <v>0</v>
      </c>
      <c r="K37" s="281">
        <f>IF(D37="","",mndot_rounding_3(G37/(H37-I37)))</f>
      </c>
      <c r="L37" s="366" t="e">
        <f>IF(OR(BU35,BU36),"COMP. CORE USED","")</f>
        <v>#N/A</v>
      </c>
      <c r="M37" s="344"/>
      <c r="N37" s="280" t="e">
        <f>IF(K36="","",AR105)</f>
        <v>#N/A</v>
      </c>
      <c r="O37" s="583" t="e">
        <f t="shared" si="7"/>
        <v>#N/A</v>
      </c>
      <c r="P37" s="583" t="e">
        <f t="shared" si="8"/>
        <v>#N/A</v>
      </c>
      <c r="Q37" s="687" t="e">
        <f t="shared" si="11"/>
        <v>#N/A</v>
      </c>
      <c r="R37" s="687"/>
      <c r="S37" s="762" t="e">
        <f>IF($R$12&lt;5,"",(IF(N37="","",IF($N$9="","BID $$ ??",AU105))))</f>
        <v>#N/A</v>
      </c>
      <c r="T37" s="763"/>
      <c r="U37" s="1" t="e">
        <f>+IF($O$49=$A$35,$T$49,IF($O$44=$A$35,$T$44,1))</f>
        <v>#N/A</v>
      </c>
      <c r="X37" s="67"/>
      <c r="Y37" s="67"/>
      <c r="BB37" s="618">
        <v>86.09999999999988</v>
      </c>
      <c r="BC37" s="619">
        <v>0.7</v>
      </c>
      <c r="BD37" s="619">
        <v>0.98</v>
      </c>
      <c r="BE37" s="618">
        <v>86.09999999999988</v>
      </c>
      <c r="BF37" s="619">
        <v>0.5</v>
      </c>
      <c r="BG37" s="619">
        <v>0.95</v>
      </c>
      <c r="BH37" s="623">
        <f t="shared" si="5"/>
        <v>0.7</v>
      </c>
      <c r="BI37" s="623">
        <f t="shared" si="5"/>
        <v>0.98</v>
      </c>
      <c r="BM37" s="665">
        <f t="shared" si="12"/>
        <v>4</v>
      </c>
      <c r="BN37" s="663" t="s">
        <v>271</v>
      </c>
      <c r="BO37" s="665">
        <f>IF(D37="",0,(K37))</f>
        <v>0</v>
      </c>
      <c r="BP37" s="663" t="e">
        <f>IF(((BO35&gt;1.5)*AND(BO35&lt;3))*AND((BO37&gt;1.5)*AND(BO35&lt;3)),1,0)</f>
        <v>#N/A</v>
      </c>
      <c r="BQ37" s="663" t="e">
        <f>IF(A35="","",IF((AND((BP35=1),(OR(((BO35-BO37)&gt;0.03),((BO37-BO35)&gt;0.03))))),0,1))</f>
        <v>#N/A</v>
      </c>
      <c r="BR37" s="661"/>
      <c r="BS37" s="663" t="e">
        <f>IF(((BR35&gt;1.5)*AND(BR35&lt;3))*AND((BO37&gt;1.5)*AND(BO37&lt;3)),BO37,"")</f>
        <v>#N/A</v>
      </c>
      <c r="BT37" s="663"/>
      <c r="BU37" s="663"/>
      <c r="BV37" s="661"/>
      <c r="BW37" s="661"/>
      <c r="BX37" s="661"/>
      <c r="BY37" s="661"/>
      <c r="BZ37" s="661"/>
      <c r="CA37" s="661"/>
      <c r="CB37" s="661"/>
      <c r="CC37" s="661"/>
    </row>
    <row r="38" spans="1:81" ht="15" customHeight="1" thickBot="1">
      <c r="A38" s="367"/>
      <c r="B38" s="368" t="e">
        <f>IF(A35="","",(CONCATENATE(TEXT(A35+0.2,"0.0"),"C")))</f>
        <v>#N/A</v>
      </c>
      <c r="C38" s="715"/>
      <c r="D38" s="725"/>
      <c r="E38" s="725"/>
      <c r="F38" s="725"/>
      <c r="G38" s="282">
        <f>IF(E38="","",E38-F38)</f>
      </c>
      <c r="H38" s="725"/>
      <c r="I38" s="725"/>
      <c r="J38" s="282">
        <f t="shared" si="6"/>
        <v>0</v>
      </c>
      <c r="K38" s="283">
        <f>IF(D38="","",mndot_rounding_3(G38/(H38-I38)))</f>
      </c>
      <c r="L38" s="283" t="e">
        <f>IF(K35="","",mndot_rounding_3((L35+L36)/2))</f>
        <v>#N/A</v>
      </c>
      <c r="M38" s="360" t="e">
        <f>IF(A35="","","= Ave.Gmb.")</f>
        <v>#N/A</v>
      </c>
      <c r="N38" s="282" t="e">
        <f>IF(K36="","",AR106)</f>
        <v>#N/A</v>
      </c>
      <c r="O38" s="584" t="e">
        <f t="shared" si="7"/>
        <v>#N/A</v>
      </c>
      <c r="P38" s="584" t="e">
        <f t="shared" si="8"/>
        <v>#N/A</v>
      </c>
      <c r="Q38" s="687" t="e">
        <f t="shared" si="11"/>
        <v>#N/A</v>
      </c>
      <c r="R38" s="688"/>
      <c r="S38" s="760" t="e">
        <f>IF($R$12&lt;5,"",(IF(N38="","",IF($N$9="","BID $$ ??",AU106))))</f>
        <v>#N/A</v>
      </c>
      <c r="T38" s="761"/>
      <c r="U38" s="1" t="e">
        <f>+IF($O$49=$A$35,$T$49,IF($O$44=$A$35,$T$44,1))</f>
        <v>#N/A</v>
      </c>
      <c r="X38" s="67"/>
      <c r="Y38" s="67"/>
      <c r="BB38" s="618">
        <v>86.19999999999987</v>
      </c>
      <c r="BC38" s="619">
        <v>0.7</v>
      </c>
      <c r="BD38" s="619">
        <v>0.98</v>
      </c>
      <c r="BE38" s="618">
        <v>86.19999999999987</v>
      </c>
      <c r="BF38" s="619">
        <v>0.5</v>
      </c>
      <c r="BG38" s="619">
        <v>0.95</v>
      </c>
      <c r="BH38" s="623">
        <f t="shared" si="5"/>
        <v>0.7</v>
      </c>
      <c r="BI38" s="623">
        <f t="shared" si="5"/>
        <v>0.98</v>
      </c>
      <c r="BM38" s="665">
        <f t="shared" si="12"/>
        <v>4</v>
      </c>
      <c r="BN38" s="663" t="s">
        <v>271</v>
      </c>
      <c r="BO38" s="665">
        <f>IF(D38="",0,(K38))</f>
        <v>0</v>
      </c>
      <c r="BP38" s="663" t="e">
        <f>IF(((BO36&gt;1.5)*AND(BO36&lt;3))*AND((BO38&gt;1.5)*AND(BO38&lt;3)),1,0)</f>
        <v>#N/A</v>
      </c>
      <c r="BQ38" s="663" t="e">
        <f>IF(A35="","",IF((AND((BP36=1),(OR(((BO36-BO38)&gt;0.03),((BO38-BO36)&gt;0.03))))),0,1))</f>
        <v>#N/A</v>
      </c>
      <c r="BR38" s="661"/>
      <c r="BS38" s="663" t="e">
        <f>IF(((BR36&gt;1.5)*AND(BR36&lt;3))*AND((BO38&gt;1.5)*AND(BO38&lt;3)),BO38,"")</f>
        <v>#N/A</v>
      </c>
      <c r="BT38" s="661"/>
      <c r="BU38" s="661"/>
      <c r="BV38" s="661"/>
      <c r="BW38" s="661"/>
      <c r="BX38" s="661"/>
      <c r="BY38" s="661"/>
      <c r="BZ38" s="661"/>
      <c r="CA38" s="661"/>
      <c r="CB38" s="661"/>
      <c r="CC38" s="661"/>
    </row>
    <row r="39" spans="1:81" ht="15" customHeight="1" thickTop="1">
      <c r="A39" s="364" t="e">
        <f>IF(R12&lt;6,"",A35+1)</f>
        <v>#N/A</v>
      </c>
      <c r="B39" s="348" t="e">
        <f>IF(A39="","",A39+0.1)</f>
        <v>#N/A</v>
      </c>
      <c r="C39" s="713"/>
      <c r="D39" s="724"/>
      <c r="E39" s="724"/>
      <c r="F39" s="724"/>
      <c r="G39" s="280" t="e">
        <f>IF(A39="","",E39-F39)</f>
        <v>#N/A</v>
      </c>
      <c r="H39" s="724"/>
      <c r="I39" s="724"/>
      <c r="J39" s="280">
        <f t="shared" si="6"/>
        <v>0</v>
      </c>
      <c r="K39" s="281" t="e">
        <f>IF(A39="","",mndot_rounding_3(G39/(H39-I39)))</f>
        <v>#N/A</v>
      </c>
      <c r="L39" s="281" t="e">
        <f>IF(K39="","",BT39)</f>
        <v>#N/A</v>
      </c>
      <c r="M39" s="362" t="e">
        <f>IF(K39="","",mndot_rounding_1((L42/$N$11)*100))</f>
        <v>#N/A</v>
      </c>
      <c r="N39" s="280" t="e">
        <f>IF(K39="","",AR107)</f>
        <v>#N/A</v>
      </c>
      <c r="O39" s="583" t="e">
        <f t="shared" si="7"/>
        <v>#N/A</v>
      </c>
      <c r="P39" s="583" t="e">
        <f t="shared" si="8"/>
        <v>#N/A</v>
      </c>
      <c r="Q39" s="735" t="e">
        <f>IF(N39="","",IF(AV107="SEE SPEC","SEE SPEC",IF(AV107="low voids","low voids",AV107+1)))</f>
        <v>#N/A</v>
      </c>
      <c r="R39" s="687" t="e">
        <f t="shared" si="9"/>
        <v>#N/A</v>
      </c>
      <c r="S39" s="762" t="e">
        <f>IF($R$12&lt;6,"",(IF(N39="","",IF($N$9="","BID $$ ??",AU107))))</f>
        <v>#N/A</v>
      </c>
      <c r="T39" s="763"/>
      <c r="U39" s="1" t="e">
        <f>+IF($O$49=$A$39,$T$49,IF($O$44=$A$39,$T$44,1))</f>
        <v>#N/A</v>
      </c>
      <c r="X39" s="67"/>
      <c r="Y39" s="67"/>
      <c r="BB39" s="618">
        <v>86.29999999999987</v>
      </c>
      <c r="BC39" s="619">
        <v>0.7</v>
      </c>
      <c r="BD39" s="619">
        <v>0.98</v>
      </c>
      <c r="BE39" s="618">
        <v>86.29999999999987</v>
      </c>
      <c r="BF39" s="619">
        <v>0.5</v>
      </c>
      <c r="BG39" s="619">
        <v>0.95</v>
      </c>
      <c r="BH39" s="623">
        <f t="shared" si="5"/>
        <v>0.7</v>
      </c>
      <c r="BI39" s="623">
        <f t="shared" si="5"/>
        <v>0.98</v>
      </c>
      <c r="BM39" s="665">
        <f>+BM35+1</f>
        <v>5</v>
      </c>
      <c r="BN39" s="661" t="s">
        <v>270</v>
      </c>
      <c r="BO39" s="665" t="e">
        <f t="shared" si="10"/>
        <v>#N/A</v>
      </c>
      <c r="BP39" s="663" t="e">
        <f>IF(((BO39&gt;1.5)*AND(BO39&lt;3))*AND((BO41&gt;1.5)*AND(BO39&lt;3)),1,0)</f>
        <v>#N/A</v>
      </c>
      <c r="BQ39" s="663" t="e">
        <f>IF(A39="","",IF((AND((BP39=1),(OR(((BO39-BO41)&gt;0.03),((BO41-BO39)&gt;0.03))))),0,1))</f>
        <v>#N/A</v>
      </c>
      <c r="BR39" s="661" t="e">
        <f>IF(A39="","",(IF(((BO39&gt;1.5)*AND(BO39&lt;3))*(((BQ39=1)*AND(BP39=1))),BO39,"")))</f>
        <v>#N/A</v>
      </c>
      <c r="BS39" s="661"/>
      <c r="BT39" s="661" t="e">
        <f>IF(A39="","",(IF(BQ39=0,BO41,(IF((AND(BR$57=1,BP39)),BO41,BO39)))))</f>
        <v>#N/A</v>
      </c>
      <c r="BU39" s="661" t="e">
        <f>IF(AND(BP39,((NOT(BO39=BT39)))),1,0)</f>
        <v>#N/A</v>
      </c>
      <c r="BV39" s="661"/>
      <c r="BW39" s="661"/>
      <c r="BX39" s="661"/>
      <c r="BY39" s="661"/>
      <c r="BZ39" s="661"/>
      <c r="CA39" s="661"/>
      <c r="CB39" s="661"/>
      <c r="CC39" s="661"/>
    </row>
    <row r="40" spans="1:81" ht="15" customHeight="1">
      <c r="A40" s="364"/>
      <c r="B40" s="348" t="e">
        <f>IF(A39="","",A39+0.2)</f>
        <v>#N/A</v>
      </c>
      <c r="C40" s="713"/>
      <c r="D40" s="724"/>
      <c r="E40" s="724"/>
      <c r="F40" s="724"/>
      <c r="G40" s="280" t="e">
        <f>IF(A39="","",E40-F40)</f>
        <v>#N/A</v>
      </c>
      <c r="H40" s="724"/>
      <c r="I40" s="724"/>
      <c r="J40" s="280">
        <f t="shared" si="6"/>
        <v>0</v>
      </c>
      <c r="K40" s="281" t="e">
        <f>IF(A39="","",mndot_rounding_3(G40/(H40-I40)))</f>
        <v>#N/A</v>
      </c>
      <c r="L40" s="281" t="e">
        <f>IF(K40="","",BT40)</f>
        <v>#N/A</v>
      </c>
      <c r="M40" s="344"/>
      <c r="N40" s="280" t="e">
        <f>IF(K40="","",AR108)</f>
        <v>#N/A</v>
      </c>
      <c r="O40" s="583" t="e">
        <f t="shared" si="7"/>
        <v>#N/A</v>
      </c>
      <c r="P40" s="583" t="e">
        <f t="shared" si="8"/>
        <v>#N/A</v>
      </c>
      <c r="Q40" s="687" t="e">
        <f t="shared" si="11"/>
        <v>#N/A</v>
      </c>
      <c r="R40" s="687" t="e">
        <f t="shared" si="9"/>
        <v>#N/A</v>
      </c>
      <c r="S40" s="762" t="e">
        <f>IF($R$12&lt;6,"",(IF(N40="","",IF($N$9="","BID $$ ??",AU108))))</f>
        <v>#N/A</v>
      </c>
      <c r="T40" s="763"/>
      <c r="U40" s="1" t="e">
        <f>+IF($O$49=$A$39,$T$49,IF($O$44=$A$39,$T$44,1))</f>
        <v>#N/A</v>
      </c>
      <c r="X40" s="67"/>
      <c r="Y40" s="67"/>
      <c r="BB40" s="618">
        <v>86.39999999999986</v>
      </c>
      <c r="BC40" s="619">
        <v>0.7</v>
      </c>
      <c r="BD40" s="619">
        <v>0.98</v>
      </c>
      <c r="BE40" s="618">
        <v>86.39999999999986</v>
      </c>
      <c r="BF40" s="619">
        <v>0.5</v>
      </c>
      <c r="BG40" s="619">
        <v>0.95</v>
      </c>
      <c r="BH40" s="623">
        <f t="shared" si="5"/>
        <v>0.7</v>
      </c>
      <c r="BI40" s="623">
        <f t="shared" si="5"/>
        <v>0.98</v>
      </c>
      <c r="BM40" s="665">
        <f t="shared" si="12"/>
        <v>5</v>
      </c>
      <c r="BN40" s="661" t="s">
        <v>270</v>
      </c>
      <c r="BO40" s="665" t="e">
        <f t="shared" si="10"/>
        <v>#N/A</v>
      </c>
      <c r="BP40" s="663" t="e">
        <f>IF(((BO40&gt;1.5)*AND(BO40&lt;3))*AND((BO42&gt;1.5)*AND(BO42&lt;3)),1,0)</f>
        <v>#N/A</v>
      </c>
      <c r="BQ40" s="663" t="e">
        <f>IF(A39="","",IF((AND((BP40=1),(OR(((BO40-BO42)&gt;0.03),((BO42-BO40)&gt;0.03))))),0,1))</f>
        <v>#N/A</v>
      </c>
      <c r="BR40" s="661" t="e">
        <f>IF(A39="","",(IF(((BO40&gt;1.5)*AND(BO40&lt;3))*(((BQ40=1)*AND(BP40=1))),BO40,"")))</f>
        <v>#N/A</v>
      </c>
      <c r="BS40" s="661"/>
      <c r="BT40" s="661" t="e">
        <f>IF(A39="","",(IF(BQ40=0,BO42,(IF((AND(BR$57=1,BP40)),BO42,BO40)))))</f>
        <v>#N/A</v>
      </c>
      <c r="BU40" s="661" t="e">
        <f>IF(AND(BP40,((NOT(BO40=BT40)))),1,0)</f>
        <v>#N/A</v>
      </c>
      <c r="BV40" s="661"/>
      <c r="BW40" s="661"/>
      <c r="BX40" s="661"/>
      <c r="BY40" s="661"/>
      <c r="BZ40" s="661"/>
      <c r="CA40" s="661"/>
      <c r="CB40" s="661"/>
      <c r="CC40" s="661"/>
    </row>
    <row r="41" spans="1:81" ht="15" customHeight="1">
      <c r="A41" s="370" t="e">
        <f>IF(A39=""," ","COMP")</f>
        <v>#N/A</v>
      </c>
      <c r="B41" s="659" t="e">
        <f>IF(A39="","",(CONCATENATE(TEXT(A39+0.1,"0.0"),"C")))</f>
        <v>#N/A</v>
      </c>
      <c r="C41" s="713"/>
      <c r="D41" s="724"/>
      <c r="E41" s="724"/>
      <c r="F41" s="724"/>
      <c r="G41" s="280">
        <f>IF(E41="","",E41-F41)</f>
      </c>
      <c r="H41" s="724"/>
      <c r="I41" s="724"/>
      <c r="J41" s="280">
        <f t="shared" si="6"/>
        <v>0</v>
      </c>
      <c r="K41" s="281">
        <f>IF(D41="","",mndot_rounding_3(G41/(H41-I41)))</f>
      </c>
      <c r="L41" s="366" t="e">
        <f>IF(OR(BU39,BU40),"COMP. CORE USED","")</f>
        <v>#N/A</v>
      </c>
      <c r="M41" s="344"/>
      <c r="N41" s="280" t="e">
        <f>IF(K40="","",AR109)</f>
        <v>#N/A</v>
      </c>
      <c r="O41" s="583" t="e">
        <f t="shared" si="7"/>
        <v>#N/A</v>
      </c>
      <c r="P41" s="583" t="e">
        <f t="shared" si="8"/>
        <v>#N/A</v>
      </c>
      <c r="Q41" s="687" t="e">
        <f t="shared" si="11"/>
        <v>#N/A</v>
      </c>
      <c r="R41" s="687"/>
      <c r="S41" s="762" t="e">
        <f>IF($R$12&lt;6,"",(IF(N41="","",IF($N$9="","BID $$ ??",AU109))))</f>
        <v>#N/A</v>
      </c>
      <c r="T41" s="763"/>
      <c r="U41" s="1" t="e">
        <f>+IF($O$49=$A$39,$T$49,IF($O$44=$A$39,$T$44,1))</f>
        <v>#N/A</v>
      </c>
      <c r="X41" s="67"/>
      <c r="Y41" s="67"/>
      <c r="Z41" s="1" t="s">
        <v>345</v>
      </c>
      <c r="BB41" s="618">
        <v>86.49999999999986</v>
      </c>
      <c r="BC41" s="619">
        <v>0.85</v>
      </c>
      <c r="BD41" s="619">
        <v>1</v>
      </c>
      <c r="BE41" s="618">
        <v>86.49999999999986</v>
      </c>
      <c r="BF41" s="619">
        <v>0.5</v>
      </c>
      <c r="BG41" s="619">
        <v>0.98</v>
      </c>
      <c r="BH41" s="623">
        <f t="shared" si="5"/>
        <v>0.85</v>
      </c>
      <c r="BI41" s="623">
        <f t="shared" si="5"/>
        <v>1</v>
      </c>
      <c r="BM41" s="665">
        <f t="shared" si="12"/>
        <v>5</v>
      </c>
      <c r="BN41" s="663" t="s">
        <v>271</v>
      </c>
      <c r="BO41" s="665">
        <f>IF(D41="",0,(K41))</f>
        <v>0</v>
      </c>
      <c r="BP41" s="663" t="e">
        <f>IF(((BO39&gt;1.5)*AND(BO39&lt;3))*AND((BO41&gt;1.5)*AND(BO39&lt;3)),1,0)</f>
        <v>#N/A</v>
      </c>
      <c r="BQ41" s="663" t="e">
        <f>IF(A39="","",IF((AND((BP39=1),(OR(((BO39-BO41)&gt;0.03),((BO41-BO39)&gt;0.03))))),0,1))</f>
        <v>#N/A</v>
      </c>
      <c r="BR41" s="661"/>
      <c r="BS41" s="663" t="e">
        <f>IF(((BR39&gt;1.5)*AND(BR39&lt;3))*AND((BO41&gt;1.5)*AND(BO41&lt;3)),BO41,"")</f>
        <v>#N/A</v>
      </c>
      <c r="BT41" s="663"/>
      <c r="BU41" s="663"/>
      <c r="BV41" s="661"/>
      <c r="BW41" s="661"/>
      <c r="BX41" s="661"/>
      <c r="BY41" s="661"/>
      <c r="BZ41" s="661"/>
      <c r="CA41" s="661"/>
      <c r="CB41" s="661"/>
      <c r="CC41" s="661"/>
    </row>
    <row r="42" spans="1:81" ht="15" customHeight="1" thickBot="1">
      <c r="A42" s="745"/>
      <c r="B42" s="624" t="e">
        <f>IF(A39="","",(CONCATENATE(TEXT(A39+0.2,"0.0"),"C")))</f>
        <v>#N/A</v>
      </c>
      <c r="C42" s="715"/>
      <c r="D42" s="725"/>
      <c r="E42" s="725"/>
      <c r="F42" s="725"/>
      <c r="G42" s="282">
        <f>IF(E42="","",E42-F42)</f>
      </c>
      <c r="H42" s="725"/>
      <c r="I42" s="725"/>
      <c r="J42" s="282">
        <f t="shared" si="6"/>
        <v>0</v>
      </c>
      <c r="K42" s="283">
        <f>IF(D42="","",mndot_rounding_3(G42/(H42-I42)))</f>
      </c>
      <c r="L42" s="283" t="e">
        <f>IF(K39="","",mndot_rounding_3((L39+L40)/2))</f>
        <v>#N/A</v>
      </c>
      <c r="M42" s="360" t="e">
        <f>IF(A39="","","= Ave.Gmb.")</f>
        <v>#N/A</v>
      </c>
      <c r="N42" s="282"/>
      <c r="O42" s="584"/>
      <c r="P42" s="584"/>
      <c r="Q42" s="688">
        <f t="shared" si="11"/>
      </c>
      <c r="R42" s="688"/>
      <c r="S42" s="737"/>
      <c r="T42" s="738"/>
      <c r="X42" s="67"/>
      <c r="Y42" s="67"/>
      <c r="BB42" s="618">
        <v>86.59999999999985</v>
      </c>
      <c r="BC42" s="619">
        <v>0.85</v>
      </c>
      <c r="BD42" s="619">
        <v>1</v>
      </c>
      <c r="BE42" s="618">
        <v>86.59999999999985</v>
      </c>
      <c r="BF42" s="619">
        <v>0.5</v>
      </c>
      <c r="BG42" s="619">
        <v>0.98</v>
      </c>
      <c r="BH42" s="623">
        <f t="shared" si="5"/>
        <v>0.85</v>
      </c>
      <c r="BI42" s="623">
        <f t="shared" si="5"/>
        <v>1</v>
      </c>
      <c r="BM42" s="665">
        <f t="shared" si="12"/>
        <v>5</v>
      </c>
      <c r="BN42" s="663" t="s">
        <v>271</v>
      </c>
      <c r="BO42" s="665">
        <f>IF(D42="",0,(K42))</f>
        <v>0</v>
      </c>
      <c r="BP42" s="663" t="e">
        <f>IF(((BO40&gt;1.5)*AND(BO40&lt;3))*AND((BO42&gt;1.5)*AND(BO42&lt;3)),1,0)</f>
        <v>#N/A</v>
      </c>
      <c r="BQ42" s="663" t="e">
        <f>IF(A39="","",IF((AND((BP40=1),(OR(((BO40-BO42)&gt;0.03),((BO42-BO40)&gt;0.03))))),0,1))</f>
        <v>#N/A</v>
      </c>
      <c r="BR42" s="661"/>
      <c r="BS42" s="663" t="e">
        <f>IF(((BR40&gt;1.5)*AND(BR40&lt;3))*AND((BO42&gt;1.5)*AND(BO42&lt;3)),BO42,"")</f>
        <v>#N/A</v>
      </c>
      <c r="BT42" s="661"/>
      <c r="BU42" s="661"/>
      <c r="BV42" s="661"/>
      <c r="BW42" s="661"/>
      <c r="BX42" s="661"/>
      <c r="BY42" s="661"/>
      <c r="BZ42" s="661"/>
      <c r="CA42" s="661"/>
      <c r="CB42" s="661"/>
      <c r="CC42" s="661"/>
    </row>
    <row r="43" spans="1:81" ht="15" customHeight="1" hidden="1" thickTop="1">
      <c r="A43" s="638" t="s">
        <v>23</v>
      </c>
      <c r="B43" s="639" t="s">
        <v>24</v>
      </c>
      <c r="C43" s="639" t="s">
        <v>131</v>
      </c>
      <c r="D43" s="639" t="s">
        <v>80</v>
      </c>
      <c r="E43" s="639" t="s">
        <v>132</v>
      </c>
      <c r="F43" s="639" t="s">
        <v>82</v>
      </c>
      <c r="G43" s="639" t="s">
        <v>83</v>
      </c>
      <c r="H43" s="639" t="s">
        <v>84</v>
      </c>
      <c r="I43" s="640" t="s">
        <v>133</v>
      </c>
      <c r="J43" s="801" t="s">
        <v>231</v>
      </c>
      <c r="K43" s="802"/>
      <c r="L43" s="802"/>
      <c r="M43" s="803"/>
      <c r="N43" s="641" t="s">
        <v>230</v>
      </c>
      <c r="O43" s="685" t="s">
        <v>369</v>
      </c>
      <c r="P43" s="686"/>
      <c r="Q43" s="812" t="s">
        <v>356</v>
      </c>
      <c r="R43" s="803"/>
      <c r="S43" s="799" t="s">
        <v>357</v>
      </c>
      <c r="T43" s="800"/>
      <c r="X43" s="67"/>
      <c r="Y43" s="67"/>
      <c r="Z43" s="1" t="s">
        <v>346</v>
      </c>
      <c r="AA43" s="65" t="s">
        <v>347</v>
      </c>
      <c r="AB43" s="1" t="s">
        <v>348</v>
      </c>
      <c r="BB43" s="618">
        <v>86.69999999999985</v>
      </c>
      <c r="BC43" s="619">
        <v>0.85</v>
      </c>
      <c r="BD43" s="619">
        <v>1</v>
      </c>
      <c r="BE43" s="618">
        <v>86.69999999999985</v>
      </c>
      <c r="BF43" s="619">
        <v>0.5</v>
      </c>
      <c r="BG43" s="619">
        <v>0.98</v>
      </c>
      <c r="BH43" s="623">
        <f t="shared" si="5"/>
        <v>0.85</v>
      </c>
      <c r="BI43" s="623">
        <f t="shared" si="5"/>
        <v>1</v>
      </c>
      <c r="BM43" s="661"/>
      <c r="BN43" s="661"/>
      <c r="BO43" s="661"/>
      <c r="BP43" s="663"/>
      <c r="BQ43" s="663"/>
      <c r="BR43" s="661"/>
      <c r="BS43" s="661"/>
      <c r="BT43" s="661"/>
      <c r="BU43" s="661"/>
      <c r="BV43" s="661"/>
      <c r="BW43" s="661"/>
      <c r="BX43" s="661"/>
      <c r="BY43" s="661"/>
      <c r="BZ43" s="661"/>
      <c r="CA43" s="661"/>
      <c r="CB43" s="661"/>
      <c r="CC43" s="661"/>
    </row>
    <row r="44" spans="1:81" ht="15" customHeight="1" hidden="1">
      <c r="A44" s="592" t="e">
        <f>+IF(R12&gt;=1,IF(O44="","",O44))</f>
        <v>#N/A</v>
      </c>
      <c r="B44" s="280" t="e">
        <f>IF(A44="","",+IF(O45="",CONCATENATE((INT(A44)+0.3),"L"),""))</f>
        <v>#N/A</v>
      </c>
      <c r="C44" s="713"/>
      <c r="D44" s="724"/>
      <c r="E44" s="724"/>
      <c r="F44" s="724"/>
      <c r="G44" s="280">
        <f>IF(AB44="no","",IF(I44="","",E44-F44))</f>
      </c>
      <c r="H44" s="724"/>
      <c r="I44" s="724"/>
      <c r="J44" s="280">
        <f>IF(D44="",0,(((H44-(D44-G44))-G44)/((H44-(D44-G44))-(I44-(D44-G44))))*100)</f>
        <v>0</v>
      </c>
      <c r="K44" s="281">
        <f>IF(I44="","",mndot_rounding_3(G44/(H44-I44)))</f>
      </c>
      <c r="L44" s="281">
        <f>IF(K44="","",BT44)</f>
      </c>
      <c r="M44" s="594">
        <f>IF(K44="","",mndot_rounding_1((L44/$N$11)*100))</f>
      </c>
      <c r="N44" s="719" t="s">
        <v>328</v>
      </c>
      <c r="O44" s="720"/>
      <c r="P44" s="700"/>
      <c r="Q44" s="749">
        <f>IF(N44="no core",1,(IF(N44="confined",(VLOOKUP(M44,BB6:BI161,7)),VLOOKUP(M44,BB6:BI161,8))))</f>
        <v>1</v>
      </c>
      <c r="R44" s="749"/>
      <c r="S44" s="587"/>
      <c r="T44" s="621">
        <f>+Q44*Q45</f>
        <v>1</v>
      </c>
      <c r="X44" s="67"/>
      <c r="Y44" s="67"/>
      <c r="Z44" s="12">
        <f>O44</f>
        <v>0</v>
      </c>
      <c r="AA44" s="679">
        <f>ROUND(MOD(Z44,1),1)</f>
        <v>0</v>
      </c>
      <c r="AB44" s="1" t="str">
        <f>IF(OR(AA44=0.1,AA44=0.2),Z44,"No")</f>
        <v>No</v>
      </c>
      <c r="BB44" s="618">
        <v>86.79999999999984</v>
      </c>
      <c r="BC44" s="619">
        <v>0.85</v>
      </c>
      <c r="BD44" s="619">
        <v>1</v>
      </c>
      <c r="BE44" s="618">
        <v>86.79999999999984</v>
      </c>
      <c r="BF44" s="619">
        <v>0.5</v>
      </c>
      <c r="BG44" s="619">
        <v>0.98</v>
      </c>
      <c r="BH44" s="623">
        <f t="shared" si="5"/>
        <v>0.85</v>
      </c>
      <c r="BI44" s="623">
        <f t="shared" si="5"/>
        <v>1</v>
      </c>
      <c r="BM44" s="665" t="e">
        <f>+$A$44</f>
        <v>#N/A</v>
      </c>
      <c r="BN44" s="661" t="s">
        <v>270</v>
      </c>
      <c r="BO44" s="665">
        <f>+K44</f>
      </c>
      <c r="BP44" s="663">
        <f>IF(((BO44&gt;1.5)*AND(BO44&lt;3))*AND((BO46&gt;1.5)*AND(BO44&lt;3)),1,0)</f>
        <v>0</v>
      </c>
      <c r="BQ44" s="663">
        <f>IF(BO44="","",IF((AND((BP44=1),(OR(((BO44-BO46)&gt;0.03),((BO46-BO44)&gt;0.03))))),0,1))</f>
      </c>
      <c r="BR44" s="661" t="e">
        <f>IF(A44="","",(IF(((BO44&gt;1.5)*AND(BO44&lt;3))*(((BQ44=1)*AND(BP44=1))),BO44,"")))</f>
        <v>#N/A</v>
      </c>
      <c r="BS44" s="661"/>
      <c r="BT44" s="661" t="e">
        <f>IF(A44="","",(IF(BQ44=0,BO46,(IF((AND(BR$57=1,BP44)),BO46,BO44)))))</f>
        <v>#N/A</v>
      </c>
      <c r="BU44" s="661" t="e">
        <f>IF(AND(BP44,((NOT(BO44=BT44)))),1,0)</f>
        <v>#N/A</v>
      </c>
      <c r="BV44" s="661"/>
      <c r="BW44" s="661"/>
      <c r="BX44" s="661"/>
      <c r="BY44" s="661"/>
      <c r="BZ44" s="661"/>
      <c r="CA44" s="661"/>
      <c r="CB44" s="661"/>
      <c r="CC44" s="661"/>
    </row>
    <row r="45" spans="1:81" ht="15" customHeight="1" hidden="1">
      <c r="A45" s="370"/>
      <c r="B45" s="280" t="e">
        <f>IF(A44="","",+IF(O45="",CONCATENATE((INT(A44))+0.4,"R"),""))</f>
        <v>#N/A</v>
      </c>
      <c r="C45" s="713"/>
      <c r="D45" s="724"/>
      <c r="E45" s="724"/>
      <c r="F45" s="724"/>
      <c r="G45" s="280">
        <f>IF(AB44="No","",IF(I45="","",E45-F45))</f>
      </c>
      <c r="H45" s="724"/>
      <c r="I45" s="724"/>
      <c r="J45" s="280">
        <f>IF(D45="",0,(((H45-(D45-G45))-G45)/((H45-(D45-G45))-(I45-(D45-G45))))*100)</f>
        <v>0</v>
      </c>
      <c r="K45" s="281">
        <f>IF(I45="","",mndot_rounding_3(G45/(H45-I45)))</f>
      </c>
      <c r="L45" s="281">
        <f>IF(K45="","",BT45)</f>
      </c>
      <c r="M45" s="594">
        <f>IF(K45="","",mndot_rounding_1((L45/$N$11)*100))</f>
      </c>
      <c r="N45" s="719" t="s">
        <v>328</v>
      </c>
      <c r="O45" s="809">
        <f>IF(O44="","",IF(AB44="No","Incorrect Core #",""))</f>
      </c>
      <c r="P45" s="810"/>
      <c r="Q45" s="750">
        <f>IF(N45="no core",1,(IF(N45="confined",(VLOOKUP(M45,BB6:BI161,7)),VLOOKUP(M45,BB6:BI161,8))))</f>
        <v>1</v>
      </c>
      <c r="R45" s="750"/>
      <c r="S45" s="587"/>
      <c r="T45" s="588"/>
      <c r="X45" s="67"/>
      <c r="Y45" s="67"/>
      <c r="Z45" s="12">
        <f>O49</f>
        <v>0</v>
      </c>
      <c r="AA45" s="679">
        <f>ROUND(MOD(Z45,1),1)</f>
        <v>0</v>
      </c>
      <c r="AB45" s="1" t="str">
        <f>IF(OR(AA45=0.1,AA45=0.2),Z45,"No")</f>
        <v>No</v>
      </c>
      <c r="BB45" s="618">
        <v>86.89999999999984</v>
      </c>
      <c r="BC45" s="619">
        <v>0.85</v>
      </c>
      <c r="BD45" s="619">
        <v>1</v>
      </c>
      <c r="BE45" s="618">
        <v>86.89999999999984</v>
      </c>
      <c r="BF45" s="619">
        <v>0.5</v>
      </c>
      <c r="BG45" s="619">
        <v>0.98</v>
      </c>
      <c r="BH45" s="623">
        <f t="shared" si="5"/>
        <v>0.85</v>
      </c>
      <c r="BI45" s="623">
        <f t="shared" si="5"/>
        <v>1</v>
      </c>
      <c r="BM45" s="665" t="e">
        <f>+$A$44</f>
        <v>#N/A</v>
      </c>
      <c r="BN45" s="661" t="s">
        <v>270</v>
      </c>
      <c r="BO45" s="665">
        <f>+K45</f>
      </c>
      <c r="BP45" s="663">
        <f>IF(((BO45&gt;1.5)*AND(BO45&lt;3))*AND((BO47&gt;1.5)*AND(BO47&lt;3)),1,0)</f>
        <v>0</v>
      </c>
      <c r="BQ45" s="663">
        <f>IF(BO45="","",IF((AND((BP45=1),(OR(((BO45-BO47)&gt;0.03),((BO47-BO45)&gt;0.03))))),0,1))</f>
      </c>
      <c r="BR45" s="661" t="e">
        <f>IF(A44="","",(IF(((BO45&gt;1.5)*AND(BO45&lt;3))*(((BQ45=1)*AND(BP45=1))),BO45,"")))</f>
        <v>#N/A</v>
      </c>
      <c r="BS45" s="661"/>
      <c r="BT45" s="661" t="e">
        <f>IF(A44="","",(IF(BQ45=0,BO47,(IF((AND(BR$57=1,BP45)),BO47,BO45)))))</f>
        <v>#N/A</v>
      </c>
      <c r="BU45" s="661" t="e">
        <f>IF(AND(BP45,((NOT(BO45=BT45)))),1,0)</f>
        <v>#N/A</v>
      </c>
      <c r="BV45" s="661"/>
      <c r="BW45" s="661"/>
      <c r="BX45" s="661"/>
      <c r="BY45" s="661"/>
      <c r="BZ45" s="661"/>
      <c r="CA45" s="661"/>
      <c r="CB45" s="661"/>
      <c r="CC45" s="661"/>
    </row>
    <row r="46" spans="1:81" ht="15" customHeight="1" hidden="1">
      <c r="A46" s="370" t="e">
        <f>IF(B44=""," ","COMP 1")</f>
        <v>#N/A</v>
      </c>
      <c r="B46" s="659" t="e">
        <f>IF(B44="","",(CONCATENATE(TEXT(B44,"0.0"),"C")))</f>
        <v>#N/A</v>
      </c>
      <c r="C46" s="713"/>
      <c r="D46" s="724"/>
      <c r="E46" s="724"/>
      <c r="F46" s="724"/>
      <c r="G46" s="280">
        <f>IF(AB44="No","",IF(E46="","",E46-F46))</f>
      </c>
      <c r="H46" s="724"/>
      <c r="I46" s="724"/>
      <c r="J46" s="280">
        <f>IF(D46="",0,(((H46-(D46-G46))-G46)/((H46-(D46-G46))-(I46-(D46-G46))))*100)</f>
        <v>0</v>
      </c>
      <c r="K46" s="281">
        <f>IF(D46="","",mndot_rounding_3(G46/(H46-I46)))</f>
      </c>
      <c r="L46" s="366" t="e">
        <f>IF(OR(BU44,BU45),"COMP. CORE USED","")</f>
        <v>#N/A</v>
      </c>
      <c r="M46" s="344"/>
      <c r="N46" s="280"/>
      <c r="O46" s="583"/>
      <c r="P46" s="583"/>
      <c r="Q46" s="687"/>
      <c r="R46" s="687"/>
      <c r="S46" s="587"/>
      <c r="T46" s="588"/>
      <c r="X46" s="67"/>
      <c r="Y46" s="67"/>
      <c r="BB46" s="618">
        <v>86.99999999999983</v>
      </c>
      <c r="BC46" s="619">
        <v>0.91</v>
      </c>
      <c r="BD46" s="619">
        <v>1</v>
      </c>
      <c r="BE46" s="618">
        <v>86.99999999999983</v>
      </c>
      <c r="BF46" s="619">
        <v>0.7</v>
      </c>
      <c r="BG46" s="619">
        <v>0.98</v>
      </c>
      <c r="BH46" s="623">
        <f t="shared" si="5"/>
        <v>0.91</v>
      </c>
      <c r="BI46" s="623">
        <f t="shared" si="5"/>
        <v>1</v>
      </c>
      <c r="BM46" s="665" t="e">
        <f>+$A$44</f>
        <v>#N/A</v>
      </c>
      <c r="BN46" s="661" t="s">
        <v>271</v>
      </c>
      <c r="BO46" s="665">
        <f>IF(D46="",0,(K46))</f>
        <v>0</v>
      </c>
      <c r="BP46" s="663">
        <f>IF(((BO44&gt;1.5)*AND(BO44&lt;3))*AND((BO46&gt;1.5)*AND(BO44&lt;3)),1,0)</f>
        <v>0</v>
      </c>
      <c r="BQ46" s="663" t="e">
        <f>IF(BO46="","",IF((AND((BP44=1),(OR(((BO44-BO46)&gt;0.03),((BO46-BO44)&gt;0.03))))),0,1))</f>
        <v>#VALUE!</v>
      </c>
      <c r="BR46" s="661"/>
      <c r="BS46" s="663" t="e">
        <f>IF(((BR44&gt;1.5)*AND(BR44&lt;3))*AND((BO46&gt;1.5)*AND(BO46&lt;3)),BO46,"")</f>
        <v>#N/A</v>
      </c>
      <c r="BT46" s="663"/>
      <c r="BU46" s="663"/>
      <c r="BV46" s="661"/>
      <c r="BW46" s="661"/>
      <c r="BX46" s="661"/>
      <c r="BY46" s="661"/>
      <c r="BZ46" s="661"/>
      <c r="CA46" s="661"/>
      <c r="CB46" s="661"/>
      <c r="CC46" s="661"/>
    </row>
    <row r="47" spans="1:81" ht="15" customHeight="1" hidden="1">
      <c r="A47" s="370" t="e">
        <f>IF(B44=""," ","COMP 2")</f>
        <v>#N/A</v>
      </c>
      <c r="B47" s="659" t="e">
        <f>IF(B45="","",(CONCATENATE(TEXT(B45,"0.0"),"C")))</f>
        <v>#N/A</v>
      </c>
      <c r="C47" s="713"/>
      <c r="D47" s="724"/>
      <c r="E47" s="724"/>
      <c r="F47" s="724"/>
      <c r="G47" s="629">
        <f>IF(AB44="No","",IF(E47="","",E47-F47))</f>
      </c>
      <c r="H47" s="724"/>
      <c r="I47" s="724"/>
      <c r="J47" s="629">
        <f>IF(D47="",0,(((H47-(D47-G47))-G47)/((H47-(D47-G47))-(I47-(D47-G47))))*100)</f>
        <v>0</v>
      </c>
      <c r="K47" s="281">
        <f>IF(D47="","",mndot_rounding_3(G47/(H47-I47)))</f>
      </c>
      <c r="L47" s="281">
        <f>IF(K44="","",mndot_rounding_3((L44+L45)/2))</f>
      </c>
      <c r="M47" s="249" t="e">
        <f>IF(A44="","","= Ave.Gmb.")</f>
        <v>#N/A</v>
      </c>
      <c r="N47" s="280"/>
      <c r="O47" s="583"/>
      <c r="P47" s="583"/>
      <c r="Q47" s="687"/>
      <c r="R47" s="687"/>
      <c r="S47" s="587"/>
      <c r="T47" s="588"/>
      <c r="X47" s="67"/>
      <c r="Y47" s="67"/>
      <c r="BB47" s="618">
        <v>87.09999999999982</v>
      </c>
      <c r="BC47" s="619">
        <v>0.91</v>
      </c>
      <c r="BD47" s="619">
        <v>1</v>
      </c>
      <c r="BE47" s="618">
        <v>87.09999999999982</v>
      </c>
      <c r="BF47" s="619">
        <v>0.7</v>
      </c>
      <c r="BG47" s="619">
        <v>0.98</v>
      </c>
      <c r="BH47" s="623">
        <f t="shared" si="5"/>
        <v>0.91</v>
      </c>
      <c r="BI47" s="623">
        <f t="shared" si="5"/>
        <v>1</v>
      </c>
      <c r="BM47" s="665" t="e">
        <f>+$A$44</f>
        <v>#N/A</v>
      </c>
      <c r="BN47" s="661" t="s">
        <v>271</v>
      </c>
      <c r="BO47" s="665">
        <f>IF(D47="",0,(K47))</f>
        <v>0</v>
      </c>
      <c r="BP47" s="663">
        <f>IF(((BO45&gt;1.5)*AND(BO45&lt;3))*AND((BO47&gt;1.5)*AND(BO47&lt;3)),1,0)</f>
        <v>0</v>
      </c>
      <c r="BQ47" s="663" t="e">
        <f>IF(BO47="","",IF((AND((BP45=1),(OR(((BO45-BO47)&gt;0.03),((BO47-BO45)&gt;0.03))))),0,1))</f>
        <v>#VALUE!</v>
      </c>
      <c r="BR47" s="661"/>
      <c r="BS47" s="663" t="e">
        <f>IF(((BR45&gt;1.5)*AND(BR45&lt;3))*AND((BO47&gt;1.5)*AND(BO47&lt;3)),BO47,"")</f>
        <v>#N/A</v>
      </c>
      <c r="BT47" s="661"/>
      <c r="BU47" s="661"/>
      <c r="BV47" s="661"/>
      <c r="BW47" s="661"/>
      <c r="BX47" s="661"/>
      <c r="BY47" s="661"/>
      <c r="BZ47" s="661"/>
      <c r="CA47" s="661"/>
      <c r="CB47" s="661"/>
      <c r="CC47" s="661"/>
    </row>
    <row r="48" spans="1:81" ht="15" customHeight="1" hidden="1">
      <c r="A48" s="370"/>
      <c r="B48" s="281"/>
      <c r="C48" s="726"/>
      <c r="D48" s="726">
        <v>955</v>
      </c>
      <c r="E48" s="726"/>
      <c r="F48" s="726"/>
      <c r="G48" s="281"/>
      <c r="H48" s="726"/>
      <c r="I48" s="726"/>
      <c r="J48" s="281"/>
      <c r="K48" s="281"/>
      <c r="L48" s="660"/>
      <c r="M48" s="344"/>
      <c r="N48" s="280"/>
      <c r="O48" s="583"/>
      <c r="P48" s="583"/>
      <c r="Q48" s="687"/>
      <c r="R48" s="687"/>
      <c r="S48" s="587"/>
      <c r="T48" s="588"/>
      <c r="X48" s="67"/>
      <c r="Y48" s="67"/>
      <c r="BB48" s="618">
        <v>87.19999999999982</v>
      </c>
      <c r="BC48" s="619">
        <v>0.91</v>
      </c>
      <c r="BD48" s="619">
        <v>1</v>
      </c>
      <c r="BE48" s="618">
        <v>87.19999999999982</v>
      </c>
      <c r="BF48" s="619">
        <v>1</v>
      </c>
      <c r="BG48" s="619">
        <v>0.98</v>
      </c>
      <c r="BH48" s="623">
        <f t="shared" si="5"/>
        <v>0.91</v>
      </c>
      <c r="BI48" s="623">
        <f t="shared" si="5"/>
        <v>1</v>
      </c>
      <c r="BM48" s="661"/>
      <c r="BN48" s="661"/>
      <c r="BO48" s="661"/>
      <c r="BP48" s="663"/>
      <c r="BQ48" s="663"/>
      <c r="BR48" s="661"/>
      <c r="BS48" s="661"/>
      <c r="BT48" s="661"/>
      <c r="BU48" s="661">
        <f>IF(AND(BP48,((NOT(BO48=BT48)))),1,0)</f>
        <v>0</v>
      </c>
      <c r="BV48" s="661"/>
      <c r="BW48" s="661"/>
      <c r="BX48" s="661"/>
      <c r="BY48" s="661"/>
      <c r="BZ48" s="661"/>
      <c r="CA48" s="661"/>
      <c r="CB48" s="661"/>
      <c r="CC48" s="661"/>
    </row>
    <row r="49" spans="1:81" ht="15" customHeight="1" hidden="1">
      <c r="A49" s="593" t="e">
        <f>+IF(R12&gt;5,O49,"")</f>
        <v>#N/A</v>
      </c>
      <c r="B49" s="590" t="e">
        <f>IF(A49="","",+IF(A49&gt;0,CONCATENATE((INT(A49)+0.3),"L"),""))</f>
        <v>#N/A</v>
      </c>
      <c r="C49" s="727"/>
      <c r="D49" s="728"/>
      <c r="E49" s="728"/>
      <c r="F49" s="728"/>
      <c r="G49" s="590">
        <f>IF(AB45="NO","",IF(I49="","",E49-F49))</f>
      </c>
      <c r="H49" s="728"/>
      <c r="I49" s="728"/>
      <c r="J49" s="280">
        <f>IF(D49="",0,(((H49-(D49-G49))-G49)/((H49-(D49-G49))-(I49-(D49-G49))))*100)</f>
        <v>0</v>
      </c>
      <c r="K49" s="589">
        <f>IF(I49="","",mndot_rounding_3(G49/(H49-I49)))</f>
      </c>
      <c r="L49" s="589">
        <f>IF(K49="","",BT49)</f>
      </c>
      <c r="M49" s="595">
        <f>IF(K49="","",mndot_rounding_1((L49/$N$11)*100))</f>
      </c>
      <c r="N49" s="729" t="s">
        <v>328</v>
      </c>
      <c r="O49" s="720"/>
      <c r="P49" s="700"/>
      <c r="Q49" s="749" t="e">
        <f>IF(R12&lt;6,"",(IF(N49="no core",1,(IF(N49="confined",(VLOOKUP(M49,BB6:BI161,7)),VLOOKUP(M49,BB6:BI161,8))))))</f>
        <v>#N/A</v>
      </c>
      <c r="R49" s="749"/>
      <c r="S49" s="591"/>
      <c r="T49" s="622" t="e">
        <f>+IF(R12&lt;6,1,Q49*Q50)</f>
        <v>#N/A</v>
      </c>
      <c r="X49" s="67"/>
      <c r="Y49" s="67"/>
      <c r="Z49" s="12"/>
      <c r="AE49" s="12"/>
      <c r="BB49" s="618">
        <v>87.29999999999981</v>
      </c>
      <c r="BC49" s="619">
        <v>0.91</v>
      </c>
      <c r="BD49" s="619">
        <v>1</v>
      </c>
      <c r="BE49" s="618">
        <v>87.29999999999981</v>
      </c>
      <c r="BF49" s="619">
        <v>0.7</v>
      </c>
      <c r="BG49" s="619">
        <v>0.98</v>
      </c>
      <c r="BH49" s="623">
        <f t="shared" si="5"/>
        <v>0.91</v>
      </c>
      <c r="BI49" s="623">
        <f t="shared" si="5"/>
        <v>1</v>
      </c>
      <c r="BM49" s="665" t="e">
        <f>+$A$49</f>
        <v>#N/A</v>
      </c>
      <c r="BN49" s="661" t="s">
        <v>270</v>
      </c>
      <c r="BO49" s="665">
        <f>+K49</f>
      </c>
      <c r="BP49" s="663">
        <f>IF(((BO49&gt;1.5)*AND(BO49&lt;3))*AND((BO51&gt;1.5)*AND(BO49&lt;3)),1,0)</f>
        <v>0</v>
      </c>
      <c r="BQ49" s="663">
        <f>IF(BO49="","",IF((AND((BP49=1),(OR(((BO49-BO51)&gt;0.03),((BO51-BO49)&gt;0.03))))),0,1))</f>
      </c>
      <c r="BR49" s="661" t="e">
        <f>IF(A49="","",(IF(((BO49&gt;1.5)*AND(BO49&lt;3))*(((BQ49=1)*AND(BP49=1))),BO49,"")))</f>
        <v>#N/A</v>
      </c>
      <c r="BS49" s="661"/>
      <c r="BT49" s="661" t="e">
        <f>IF(A49="","",(IF(BQ49=0,BO51,(IF((AND(BR$57=1,BP49)),BO51,BO49)))))</f>
        <v>#N/A</v>
      </c>
      <c r="BU49" s="661" t="e">
        <f>IF(AND(BP49,((NOT(BO49=BT49)))),1,0)</f>
        <v>#N/A</v>
      </c>
      <c r="BV49" s="661"/>
      <c r="BW49" s="661"/>
      <c r="BX49" s="661"/>
      <c r="BY49" s="661"/>
      <c r="BZ49" s="661"/>
      <c r="CA49" s="661"/>
      <c r="CB49" s="661"/>
      <c r="CC49" s="661"/>
    </row>
    <row r="50" spans="1:81" ht="15" customHeight="1" hidden="1">
      <c r="A50" s="370"/>
      <c r="B50" s="280" t="e">
        <f>IF(A49="","",+IF(A49&gt;0,CONCATENATE((INT(A49)+0.4),"L"),""))</f>
        <v>#N/A</v>
      </c>
      <c r="C50" s="713"/>
      <c r="D50" s="724"/>
      <c r="E50" s="724"/>
      <c r="F50" s="724"/>
      <c r="G50" s="280">
        <f>IF(AB45="No","",IF(I50="","",E50-F50))</f>
      </c>
      <c r="H50" s="724"/>
      <c r="I50" s="724"/>
      <c r="J50" s="280">
        <f>IF(D50="",0,(((H50-(D50-G50))-G50)/((H50-(D50-G50))-(I50-(D50-G50))))*100)</f>
        <v>0</v>
      </c>
      <c r="K50" s="281">
        <f>IF(I50="","",mndot_rounding_3(G50/(H50-I50)))</f>
      </c>
      <c r="L50" s="281">
        <f>IF(K50="","",BT50)</f>
      </c>
      <c r="M50" s="594">
        <f>IF(K50="","",mndot_rounding_1((L50/$N$11)*100))</f>
      </c>
      <c r="N50" s="719" t="s">
        <v>328</v>
      </c>
      <c r="O50" s="809">
        <f>IF(O49="","",IF(AB49="No","Incorrect Core #",""))</f>
      </c>
      <c r="P50" s="811"/>
      <c r="Q50" s="750" t="e">
        <f>IF(R12&lt;6,"",(IF(N50="no core",1,(IF(N50="confined",(VLOOKUP(M50,BB6:BI161,7)),VLOOKUP(M50,BB6:BI161,8))))))</f>
        <v>#N/A</v>
      </c>
      <c r="R50" s="750"/>
      <c r="S50" s="587"/>
      <c r="T50" s="588"/>
      <c r="X50" s="67"/>
      <c r="Y50" s="67"/>
      <c r="BB50" s="618"/>
      <c r="BC50" s="619"/>
      <c r="BD50" s="619"/>
      <c r="BE50" s="618"/>
      <c r="BF50" s="619"/>
      <c r="BG50" s="619"/>
      <c r="BH50" s="623"/>
      <c r="BI50" s="623"/>
      <c r="BM50" s="665" t="e">
        <f>+$A$49</f>
        <v>#N/A</v>
      </c>
      <c r="BN50" s="661" t="s">
        <v>270</v>
      </c>
      <c r="BO50" s="665">
        <f>+K50</f>
      </c>
      <c r="BP50" s="663">
        <f>IF(((BO50&gt;1.5)*AND(BO50&lt;3))*AND((BO52&gt;1.5)*AND(BO52&lt;3)),1,0)</f>
        <v>0</v>
      </c>
      <c r="BQ50" s="663">
        <f>IF(BO50="","",IF((AND((BP50=1),(OR(((BO50-BO52)&gt;0.03),((BO52-BO50)&gt;0.03))))),0,1))</f>
      </c>
      <c r="BR50" s="661" t="e">
        <f>IF(A49="","",(IF(((BO50&gt;1.5)*AND(BO50&lt;3))*(((BQ50=1)*AND(BP50=1))),BO50,"")))</f>
        <v>#N/A</v>
      </c>
      <c r="BS50" s="661"/>
      <c r="BT50" s="661" t="e">
        <f>IF(A49="","",(IF(BQ50=0,BO52,(IF((AND(BR$57=1,BP50)),BO52,BO50)))))</f>
        <v>#N/A</v>
      </c>
      <c r="BU50" s="661" t="e">
        <f>IF(AND(BP50,((NOT(BO50=BT50)))),1,0)</f>
        <v>#N/A</v>
      </c>
      <c r="BV50" s="661"/>
      <c r="BW50" s="661"/>
      <c r="BX50" s="661"/>
      <c r="BY50" s="661"/>
      <c r="BZ50" s="661"/>
      <c r="CA50" s="661"/>
      <c r="CB50" s="661"/>
      <c r="CC50" s="661"/>
    </row>
    <row r="51" spans="1:81" ht="15" customHeight="1" hidden="1">
      <c r="A51" s="370" t="e">
        <f>IF(B49=""," ","COMP 1")</f>
        <v>#N/A</v>
      </c>
      <c r="B51" s="659" t="e">
        <f>IF(B49="","",(CONCATENATE(TEXT(B49,"0.0"),"C")))</f>
        <v>#N/A</v>
      </c>
      <c r="C51" s="713"/>
      <c r="D51" s="724"/>
      <c r="E51" s="724"/>
      <c r="F51" s="724"/>
      <c r="G51" s="280">
        <f>IF(AB45="No","",IF(E51="","",E51-F51))</f>
      </c>
      <c r="H51" s="724"/>
      <c r="I51" s="724"/>
      <c r="J51" s="280">
        <f>IF(D51="",0,(((H51-(D51-G51))-G51)/((H51-(D51-G51))-(I51-(D51-G51))))*100)</f>
        <v>0</v>
      </c>
      <c r="K51" s="281">
        <f>IF(D51="","",mndot_rounding_3(G51/(H51-I51)))</f>
      </c>
      <c r="L51" s="366" t="e">
        <f>IF(OR(BU49,BU50),"COMP. CORE USED","")</f>
        <v>#N/A</v>
      </c>
      <c r="M51" s="344"/>
      <c r="N51" s="280"/>
      <c r="O51" s="583"/>
      <c r="P51" s="583"/>
      <c r="Q51" s="687"/>
      <c r="R51" s="687"/>
      <c r="S51" s="587"/>
      <c r="T51" s="588"/>
      <c r="X51" s="67"/>
      <c r="Y51" s="67"/>
      <c r="BB51" s="618">
        <v>87.3999999999998</v>
      </c>
      <c r="BC51" s="619">
        <v>0.91</v>
      </c>
      <c r="BD51" s="619">
        <v>1</v>
      </c>
      <c r="BE51" s="618">
        <v>87.3999999999998</v>
      </c>
      <c r="BF51" s="619">
        <v>0.7</v>
      </c>
      <c r="BG51" s="619">
        <v>0.98</v>
      </c>
      <c r="BH51" s="623">
        <f t="shared" si="5"/>
        <v>0.91</v>
      </c>
      <c r="BI51" s="623">
        <f t="shared" si="5"/>
        <v>1</v>
      </c>
      <c r="BM51" s="665" t="e">
        <f>+$A$49</f>
        <v>#N/A</v>
      </c>
      <c r="BN51" s="661" t="s">
        <v>271</v>
      </c>
      <c r="BO51" s="665">
        <f>IF(D51="",0,(K51))</f>
        <v>0</v>
      </c>
      <c r="BP51" s="663">
        <f>IF(((BO49&gt;1.5)*AND(BO49&lt;3))*AND((BO51&gt;1.5)*AND(BO49&lt;3)),1,0)</f>
        <v>0</v>
      </c>
      <c r="BQ51" s="663" t="e">
        <f>IF(BO51="","",IF((AND((BP49=1),(OR(((BO49-BO51)&gt;0.03),((BO51-BO49)&gt;0.03))))),0,1))</f>
        <v>#VALUE!</v>
      </c>
      <c r="BR51" s="661"/>
      <c r="BS51" s="663" t="e">
        <f>IF(((BR49&gt;1.5)*AND(BR49&lt;3))*AND((BO51&gt;1.5)*AND(BO51&lt;3)),BO51,"")</f>
        <v>#N/A</v>
      </c>
      <c r="BT51" s="663"/>
      <c r="BU51" s="661"/>
      <c r="BV51" s="661"/>
      <c r="BW51" s="661"/>
      <c r="BX51" s="661"/>
      <c r="BY51" s="661"/>
      <c r="BZ51" s="661"/>
      <c r="CA51" s="661"/>
      <c r="CB51" s="661"/>
      <c r="CC51" s="661"/>
    </row>
    <row r="52" spans="1:81" ht="15" customHeight="1" hidden="1" thickBot="1">
      <c r="A52" s="678" t="e">
        <f>IF(B49=""," ","COMP 2")</f>
        <v>#N/A</v>
      </c>
      <c r="B52" s="681" t="e">
        <f>IF(B50="","",(CONCATENATE(TEXT(B50,"0.0"),"C")))</f>
        <v>#N/A</v>
      </c>
      <c r="C52" s="715"/>
      <c r="D52" s="725"/>
      <c r="E52" s="725"/>
      <c r="F52" s="725"/>
      <c r="G52" s="282">
        <f>IF(AB45="No","",IF(E52="","",E52-F52))</f>
      </c>
      <c r="H52" s="725"/>
      <c r="I52" s="725"/>
      <c r="J52" s="282">
        <f>IF(D52="",0,(((H52-(D52-G52))-G52)/((H52-(D52-G52))-(I52-(D52-G52))))*100)</f>
        <v>0</v>
      </c>
      <c r="K52" s="368">
        <f>IF(D52="","",mndot_rounding_3(G52/(H52-I52)))</f>
      </c>
      <c r="L52" s="283">
        <f>IF(K49="","",mndot_rounding_3((L49+L50)/2))</f>
      </c>
      <c r="M52" s="360" t="e">
        <f>IF(A39="","","= Ave.Gmb.")</f>
        <v>#N/A</v>
      </c>
      <c r="N52" s="282"/>
      <c r="O52" s="584">
        <f>IF(N52="","",AS110)</f>
      </c>
      <c r="P52" s="584">
        <f>IF(O52="","",(IF($R$7="","",(O52*($R$8/$S$6)))))</f>
      </c>
      <c r="Q52" s="688"/>
      <c r="R52" s="688"/>
      <c r="S52" s="760" t="e">
        <f>IF(R12&lt;6,"",(IF(N52="","",IF($N$9="","BID $$ ??",AU110))))</f>
        <v>#N/A</v>
      </c>
      <c r="T52" s="761"/>
      <c r="X52" s="67"/>
      <c r="Y52" s="67"/>
      <c r="BB52" s="618">
        <v>87.4999999999998</v>
      </c>
      <c r="BC52" s="619">
        <v>0.95</v>
      </c>
      <c r="BD52" s="619">
        <v>1</v>
      </c>
      <c r="BE52" s="618">
        <v>87.4999999999998</v>
      </c>
      <c r="BF52" s="619">
        <v>0.85</v>
      </c>
      <c r="BG52" s="619">
        <v>1</v>
      </c>
      <c r="BH52" s="623">
        <f t="shared" si="5"/>
        <v>0.95</v>
      </c>
      <c r="BI52" s="623">
        <f t="shared" si="5"/>
        <v>1</v>
      </c>
      <c r="BM52" s="665" t="e">
        <f>+$A$49</f>
        <v>#N/A</v>
      </c>
      <c r="BN52" s="661" t="s">
        <v>271</v>
      </c>
      <c r="BO52" s="665">
        <f>IF(D52="",0,(K52))</f>
        <v>0</v>
      </c>
      <c r="BP52" s="663">
        <f>IF(((BO50&gt;1.5)*AND(BO50&lt;3))*AND((BO52&gt;1.5)*AND(BO52&lt;3)),1,0)</f>
        <v>0</v>
      </c>
      <c r="BQ52" s="663" t="e">
        <f>IF(BO52="","",IF((AND((BP50=1),(OR(((BO50-BO52)&gt;0.03),((BO52-BO50)&gt;0.03))))),0,1))</f>
        <v>#VALUE!</v>
      </c>
      <c r="BR52" s="661"/>
      <c r="BS52" s="663" t="e">
        <f>IF(((BR50&gt;1.5)*AND(BR50&lt;3))*AND((BO52&gt;1.5)*AND(BO52&lt;3)),BO52,"")</f>
        <v>#N/A</v>
      </c>
      <c r="BT52" s="661"/>
      <c r="BU52" s="661"/>
      <c r="BV52" s="661"/>
      <c r="BW52" s="661"/>
      <c r="BX52" s="661"/>
      <c r="BY52" s="661"/>
      <c r="BZ52" s="661"/>
      <c r="CA52" s="661"/>
      <c r="CB52" s="661"/>
      <c r="CC52" s="661"/>
    </row>
    <row r="53" spans="1:81" s="269" customFormat="1" ht="12.75" customHeight="1" thickTop="1">
      <c r="A53" s="581"/>
      <c r="B53" s="773" t="s">
        <v>129</v>
      </c>
      <c r="C53" s="773"/>
      <c r="D53" s="787"/>
      <c r="E53" s="787"/>
      <c r="F53" s="788" t="s">
        <v>138</v>
      </c>
      <c r="G53" s="788"/>
      <c r="H53" s="374" t="e">
        <f>AVERAGE(L22,L26,L30,L34,L38,L52)*62.3</f>
        <v>#N/A</v>
      </c>
      <c r="I53" s="785" t="s">
        <v>33</v>
      </c>
      <c r="J53" s="773"/>
      <c r="K53" s="786"/>
      <c r="L53" s="785" t="s">
        <v>34</v>
      </c>
      <c r="M53" s="773"/>
      <c r="N53" s="786"/>
      <c r="O53" s="375"/>
      <c r="P53" s="375"/>
      <c r="Q53" s="806" t="s">
        <v>35</v>
      </c>
      <c r="R53" s="807"/>
      <c r="S53" s="807"/>
      <c r="T53" s="808"/>
      <c r="X53" s="271"/>
      <c r="Y53" s="271"/>
      <c r="AA53" s="270"/>
      <c r="BB53" s="618">
        <v>87.5999999999998</v>
      </c>
      <c r="BC53" s="619">
        <v>0.95</v>
      </c>
      <c r="BD53" s="619">
        <v>1</v>
      </c>
      <c r="BE53" s="618">
        <v>87.5999999999998</v>
      </c>
      <c r="BF53" s="619">
        <v>0.85</v>
      </c>
      <c r="BG53" s="619">
        <v>1</v>
      </c>
      <c r="BH53" s="623">
        <f t="shared" si="5"/>
        <v>0.95</v>
      </c>
      <c r="BI53" s="623">
        <f t="shared" si="5"/>
        <v>1</v>
      </c>
      <c r="BM53" s="664"/>
      <c r="BN53" s="664"/>
      <c r="BO53" s="664"/>
      <c r="BP53" s="664"/>
      <c r="BQ53" s="664"/>
      <c r="BR53" s="664"/>
      <c r="BS53" s="664"/>
      <c r="BT53" s="664"/>
      <c r="BU53" s="664"/>
      <c r="BV53" s="664"/>
      <c r="BW53" s="664"/>
      <c r="BX53" s="664"/>
      <c r="BY53" s="664"/>
      <c r="BZ53" s="664"/>
      <c r="CA53" s="664"/>
      <c r="CB53" s="664"/>
      <c r="CC53" s="664"/>
    </row>
    <row r="54" spans="1:81" s="269" customFormat="1" ht="14.25" customHeight="1" thickBot="1">
      <c r="A54" s="373"/>
      <c r="B54" s="772" t="s">
        <v>39</v>
      </c>
      <c r="C54" s="772"/>
      <c r="D54" s="774"/>
      <c r="E54" s="774"/>
      <c r="F54" s="773" t="s">
        <v>137</v>
      </c>
      <c r="G54" s="773"/>
      <c r="H54" s="374" t="e">
        <f>H53*0.75</f>
        <v>#N/A</v>
      </c>
      <c r="I54" s="376" t="s">
        <v>36</v>
      </c>
      <c r="J54" s="770" t="e">
        <f>AM155</f>
        <v>#N/A</v>
      </c>
      <c r="K54" s="771"/>
      <c r="L54" s="377" t="s">
        <v>36</v>
      </c>
      <c r="M54" s="770" t="e">
        <f>AN155</f>
        <v>#N/A</v>
      </c>
      <c r="N54" s="771"/>
      <c r="O54" s="375"/>
      <c r="P54" s="375"/>
      <c r="Q54" s="394" t="s">
        <v>178</v>
      </c>
      <c r="R54" s="689"/>
      <c r="S54" s="756" t="str">
        <f>IF(N9="","BID $$ ??",SUM(S19:S41))</f>
        <v>BID $$ ??</v>
      </c>
      <c r="T54" s="757"/>
      <c r="X54" s="271"/>
      <c r="Y54" s="271"/>
      <c r="AA54" s="270"/>
      <c r="BB54" s="618">
        <v>87.69999999999979</v>
      </c>
      <c r="BC54" s="619">
        <v>0.95</v>
      </c>
      <c r="BD54" s="619">
        <v>1</v>
      </c>
      <c r="BE54" s="618">
        <v>87.69999999999979</v>
      </c>
      <c r="BF54" s="619">
        <v>0.85</v>
      </c>
      <c r="BG54" s="619">
        <v>1</v>
      </c>
      <c r="BH54" s="623">
        <f t="shared" si="5"/>
        <v>0.95</v>
      </c>
      <c r="BI54" s="623">
        <f t="shared" si="5"/>
        <v>1</v>
      </c>
      <c r="BM54" s="664"/>
      <c r="BN54" s="664"/>
      <c r="BO54" s="664"/>
      <c r="BP54" s="664"/>
      <c r="BQ54" s="664"/>
      <c r="BR54" s="668" t="e">
        <f>AVERAGE(BR19:BR52)</f>
        <v>#N/A</v>
      </c>
      <c r="BS54" s="664" t="e">
        <f>AVERAGE(BS19:BS52)</f>
        <v>#N/A</v>
      </c>
      <c r="BT54" s="664"/>
      <c r="BU54" s="664"/>
      <c r="BV54" s="664"/>
      <c r="BW54" s="664"/>
      <c r="BX54" s="664"/>
      <c r="BY54" s="664"/>
      <c r="BZ54" s="664"/>
      <c r="CA54" s="664"/>
      <c r="CB54" s="664"/>
      <c r="CC54" s="664"/>
    </row>
    <row r="55" spans="1:81" s="269" customFormat="1" ht="12.75" customHeight="1" thickTop="1">
      <c r="A55" s="373"/>
      <c r="B55" s="335" t="s">
        <v>41</v>
      </c>
      <c r="C55" s="375"/>
      <c r="D55" s="375"/>
      <c r="E55" s="375"/>
      <c r="F55" s="375"/>
      <c r="G55" s="375"/>
      <c r="H55" s="375"/>
      <c r="I55" s="375"/>
      <c r="J55" s="375"/>
      <c r="K55" s="375"/>
      <c r="L55" s="375"/>
      <c r="M55" s="375"/>
      <c r="N55" s="375"/>
      <c r="O55" s="804" t="str">
        <f>IF(L69="no","","Weighted Average Air Voids")</f>
        <v>Weighted Average Air Voids</v>
      </c>
      <c r="P55" s="804"/>
      <c r="Q55" s="804"/>
      <c r="R55" s="804"/>
      <c r="S55" s="804"/>
      <c r="T55" s="805"/>
      <c r="X55" s="272"/>
      <c r="Y55" s="272"/>
      <c r="AA55" s="270"/>
      <c r="BB55" s="618">
        <v>87.79999999999978</v>
      </c>
      <c r="BC55" s="619">
        <v>0.95</v>
      </c>
      <c r="BD55" s="619">
        <v>1</v>
      </c>
      <c r="BE55" s="618">
        <v>87.79999999999978</v>
      </c>
      <c r="BF55" s="619">
        <v>0.85</v>
      </c>
      <c r="BG55" s="619">
        <v>1</v>
      </c>
      <c r="BH55" s="623">
        <f t="shared" si="5"/>
        <v>0.95</v>
      </c>
      <c r="BI55" s="623">
        <f t="shared" si="5"/>
        <v>1</v>
      </c>
      <c r="BM55" s="664"/>
      <c r="BN55" s="664"/>
      <c r="BO55" s="664"/>
      <c r="BP55" s="664"/>
      <c r="BQ55" s="666"/>
      <c r="BR55" s="670" t="s">
        <v>290</v>
      </c>
      <c r="BS55" s="667"/>
      <c r="BT55" s="664"/>
      <c r="BU55" s="664"/>
      <c r="BV55" s="664"/>
      <c r="BW55" s="664"/>
      <c r="BX55" s="664"/>
      <c r="BY55" s="664"/>
      <c r="BZ55" s="664"/>
      <c r="CA55" s="664"/>
      <c r="CB55" s="664"/>
      <c r="CC55" s="664"/>
    </row>
    <row r="56" spans="1:81" s="269" customFormat="1" ht="12.75" customHeight="1">
      <c r="A56" s="373"/>
      <c r="B56" s="375"/>
      <c r="C56" s="793"/>
      <c r="D56" s="794"/>
      <c r="E56" s="794"/>
      <c r="F56" s="794"/>
      <c r="G56" s="794"/>
      <c r="H56" s="794"/>
      <c r="I56" s="794"/>
      <c r="J56" s="794"/>
      <c r="K56" s="795"/>
      <c r="L56" s="337" t="s">
        <v>37</v>
      </c>
      <c r="M56" s="755"/>
      <c r="N56" s="755"/>
      <c r="O56" s="337" t="s">
        <v>38</v>
      </c>
      <c r="P56" s="337"/>
      <c r="Q56" s="755"/>
      <c r="R56" s="755"/>
      <c r="S56" s="755"/>
      <c r="T56" s="379"/>
      <c r="X56" s="272"/>
      <c r="Y56" s="272"/>
      <c r="AA56" s="270"/>
      <c r="BB56" s="618">
        <v>87.89999999999978</v>
      </c>
      <c r="BC56" s="619">
        <v>0.95</v>
      </c>
      <c r="BD56" s="619">
        <v>1</v>
      </c>
      <c r="BE56" s="618">
        <v>87.89999999999978</v>
      </c>
      <c r="BF56" s="619">
        <v>0.85</v>
      </c>
      <c r="BG56" s="619">
        <v>1</v>
      </c>
      <c r="BH56" s="623">
        <f t="shared" si="5"/>
        <v>0.95</v>
      </c>
      <c r="BI56" s="623">
        <f t="shared" si="5"/>
        <v>1</v>
      </c>
      <c r="BM56" s="664"/>
      <c r="BN56" s="664"/>
      <c r="BO56" s="664"/>
      <c r="BP56" s="664"/>
      <c r="BQ56" s="666"/>
      <c r="BR56" s="671" t="s">
        <v>287</v>
      </c>
      <c r="BS56" s="664"/>
      <c r="BT56" s="664"/>
      <c r="BU56" s="664"/>
      <c r="BV56" s="664"/>
      <c r="BW56" s="664"/>
      <c r="BX56" s="664"/>
      <c r="BY56" s="664"/>
      <c r="BZ56" s="664"/>
      <c r="CA56" s="664"/>
      <c r="CB56" s="664"/>
      <c r="CC56" s="664"/>
    </row>
    <row r="57" spans="1:81" s="269" customFormat="1" ht="24" customHeight="1" thickBot="1">
      <c r="A57" s="373"/>
      <c r="B57" s="375"/>
      <c r="C57" s="796"/>
      <c r="D57" s="797"/>
      <c r="E57" s="797"/>
      <c r="F57" s="797"/>
      <c r="G57" s="797"/>
      <c r="H57" s="797"/>
      <c r="I57" s="797"/>
      <c r="J57" s="797"/>
      <c r="K57" s="798"/>
      <c r="L57" s="337" t="s">
        <v>40</v>
      </c>
      <c r="M57" s="755"/>
      <c r="N57" s="755"/>
      <c r="O57" s="337" t="s">
        <v>177</v>
      </c>
      <c r="P57" s="337"/>
      <c r="Q57" s="755"/>
      <c r="R57" s="755"/>
      <c r="S57" s="755"/>
      <c r="T57" s="380"/>
      <c r="U57" s="276"/>
      <c r="V57" s="276"/>
      <c r="W57" s="276"/>
      <c r="X57" s="276"/>
      <c r="Y57" s="276"/>
      <c r="AA57" s="270"/>
      <c r="BB57" s="618">
        <v>87.99999999999977</v>
      </c>
      <c r="BC57" s="619">
        <v>0.98</v>
      </c>
      <c r="BD57" s="619">
        <v>1</v>
      </c>
      <c r="BE57" s="618">
        <v>87.99999999999977</v>
      </c>
      <c r="BF57" s="619">
        <v>0.91</v>
      </c>
      <c r="BG57" s="619">
        <v>1</v>
      </c>
      <c r="BH57" s="623">
        <f t="shared" si="5"/>
        <v>0.98</v>
      </c>
      <c r="BI57" s="623">
        <f t="shared" si="5"/>
        <v>1</v>
      </c>
      <c r="BN57" s="664"/>
      <c r="BO57" s="664"/>
      <c r="BP57" s="664"/>
      <c r="BQ57" s="666"/>
      <c r="BR57" s="672" t="str">
        <f>"IF(BR58=0,0,(IF(ABS(BS54-BR54)&gt;(0.03/(BR58^0.5)),1,0)))"</f>
        <v>IF(BR58=0,0,(IF(ABS(BS54-BR54)&gt;(0.03/(BR58^0.5)),1,0)))</v>
      </c>
      <c r="BS57" s="667"/>
      <c r="BT57" s="664"/>
      <c r="BU57" s="664"/>
      <c r="BV57" s="664"/>
      <c r="BW57" s="664"/>
      <c r="BX57" s="664"/>
      <c r="BY57" s="664"/>
      <c r="BZ57" s="664"/>
      <c r="CA57" s="664"/>
      <c r="CB57" s="664"/>
      <c r="CC57" s="664"/>
    </row>
    <row r="58" spans="1:81" s="269" customFormat="1" ht="12.75" customHeight="1" thickTop="1">
      <c r="A58" s="373"/>
      <c r="B58" s="375"/>
      <c r="C58" s="792">
        <f>IF(AK82=1,"Maxiumum Density Acceptance Using 1% Reduced Payment Table (2360.6-B4A)","")</f>
      </c>
      <c r="D58" s="792"/>
      <c r="E58" s="792"/>
      <c r="F58" s="792"/>
      <c r="G58" s="792"/>
      <c r="H58" s="792"/>
      <c r="I58" s="792"/>
      <c r="J58" s="792"/>
      <c r="K58" s="792"/>
      <c r="L58" s="743"/>
      <c r="M58" s="375"/>
      <c r="N58" s="375"/>
      <c r="O58" s="375"/>
      <c r="P58" s="375"/>
      <c r="Q58" s="375"/>
      <c r="R58" s="375"/>
      <c r="S58" s="375"/>
      <c r="T58" s="380"/>
      <c r="U58" s="276"/>
      <c r="V58" s="276"/>
      <c r="W58" s="276"/>
      <c r="X58" s="276"/>
      <c r="Y58" s="276"/>
      <c r="AA58" s="270"/>
      <c r="BB58" s="618">
        <v>88.09999999999977</v>
      </c>
      <c r="BC58" s="619">
        <v>0.98</v>
      </c>
      <c r="BD58" s="619">
        <v>1</v>
      </c>
      <c r="BE58" s="618">
        <v>88.09999999999977</v>
      </c>
      <c r="BF58" s="619">
        <v>0.91</v>
      </c>
      <c r="BG58" s="619">
        <v>1</v>
      </c>
      <c r="BH58" s="623">
        <f t="shared" si="5"/>
        <v>0.98</v>
      </c>
      <c r="BI58" s="623">
        <f t="shared" si="5"/>
        <v>1</v>
      </c>
      <c r="BM58" s="664"/>
      <c r="BN58" s="664"/>
      <c r="BO58" s="664"/>
      <c r="BP58" s="664"/>
      <c r="BQ58" s="673" t="s">
        <v>291</v>
      </c>
      <c r="BR58" s="669">
        <f>COUNT(BR19:BR52)</f>
        <v>0</v>
      </c>
      <c r="BS58" s="669">
        <f>COUNT(BS23:BS55)</f>
        <v>0</v>
      </c>
      <c r="BT58" s="664"/>
      <c r="BU58" s="664"/>
      <c r="BV58" s="664"/>
      <c r="BW58" s="664"/>
      <c r="BX58" s="664"/>
      <c r="BY58" s="664"/>
      <c r="BZ58" s="664"/>
      <c r="CA58" s="664"/>
      <c r="CB58" s="664"/>
      <c r="CC58" s="664"/>
    </row>
    <row r="59" spans="1:61" ht="12.75" customHeight="1" thickBot="1">
      <c r="A59" s="308"/>
      <c r="B59" s="311"/>
      <c r="C59" s="311"/>
      <c r="D59" s="311"/>
      <c r="E59" s="311"/>
      <c r="F59" s="311"/>
      <c r="G59" s="739"/>
      <c r="H59" s="310"/>
      <c r="I59" s="310"/>
      <c r="J59" s="310"/>
      <c r="K59" s="310"/>
      <c r="L59" s="310"/>
      <c r="M59" s="310"/>
      <c r="N59" s="310"/>
      <c r="O59" s="310"/>
      <c r="P59" s="310"/>
      <c r="Q59" s="310"/>
      <c r="R59" s="310"/>
      <c r="S59" s="311"/>
      <c r="T59" s="305"/>
      <c r="U59" s="73"/>
      <c r="V59" s="73"/>
      <c r="W59" s="73"/>
      <c r="X59" s="73"/>
      <c r="Y59" s="73"/>
      <c r="AN59" s="65"/>
      <c r="AO59" s="65"/>
      <c r="AP59" s="65"/>
      <c r="AQ59" s="65"/>
      <c r="AR59" s="65"/>
      <c r="AS59" s="65"/>
      <c r="AT59" s="65"/>
      <c r="BB59" s="618">
        <v>88.19999999999976</v>
      </c>
      <c r="BC59" s="619">
        <v>0.98</v>
      </c>
      <c r="BD59" s="619">
        <v>1</v>
      </c>
      <c r="BE59" s="618">
        <v>88.19999999999976</v>
      </c>
      <c r="BF59" s="619">
        <v>0.91</v>
      </c>
      <c r="BG59" s="619">
        <v>1</v>
      </c>
      <c r="BH59" s="623">
        <f t="shared" si="5"/>
        <v>0.98</v>
      </c>
      <c r="BI59" s="623">
        <f t="shared" si="5"/>
        <v>1</v>
      </c>
    </row>
    <row r="60" spans="5:65" ht="15" customHeight="1" hidden="1" thickBot="1">
      <c r="E60" s="7"/>
      <c r="F60" s="7"/>
      <c r="G60" s="136"/>
      <c r="H60" s="277"/>
      <c r="I60" s="754"/>
      <c r="J60" s="754"/>
      <c r="K60" s="278"/>
      <c r="L60" s="278"/>
      <c r="M60" s="278"/>
      <c r="N60" s="278"/>
      <c r="O60" s="278"/>
      <c r="P60" s="278"/>
      <c r="Q60" s="278"/>
      <c r="R60" s="278"/>
      <c r="S60" s="7"/>
      <c r="T60" s="73"/>
      <c r="U60" s="73"/>
      <c r="V60" s="73"/>
      <c r="W60" s="73"/>
      <c r="X60" s="73"/>
      <c r="Y60" s="73"/>
      <c r="AN60" s="88"/>
      <c r="AO60" s="88"/>
      <c r="AP60" s="136"/>
      <c r="AQ60" s="136"/>
      <c r="AR60" s="137"/>
      <c r="AS60" s="136"/>
      <c r="AT60" s="136"/>
      <c r="BB60" s="618">
        <v>88.29999999999976</v>
      </c>
      <c r="BC60" s="619">
        <v>0.98</v>
      </c>
      <c r="BD60" s="619">
        <v>1</v>
      </c>
      <c r="BE60" s="618">
        <v>88.29999999999976</v>
      </c>
      <c r="BF60" s="619">
        <v>0.91</v>
      </c>
      <c r="BG60" s="619">
        <v>1</v>
      </c>
      <c r="BH60" s="623">
        <f t="shared" si="5"/>
        <v>0.98</v>
      </c>
      <c r="BI60" s="623">
        <f t="shared" si="5"/>
        <v>1</v>
      </c>
      <c r="BM60" s="744" t="s">
        <v>381</v>
      </c>
    </row>
    <row r="61" spans="5:61" ht="15" customHeight="1" hidden="1">
      <c r="E61" s="7"/>
      <c r="F61" s="539" t="s">
        <v>216</v>
      </c>
      <c r="G61" s="540"/>
      <c r="H61" s="541"/>
      <c r="I61" s="542"/>
      <c r="J61" s="540"/>
      <c r="K61" s="555"/>
      <c r="L61" s="540"/>
      <c r="M61" s="552"/>
      <c r="N61" s="278"/>
      <c r="O61" s="278"/>
      <c r="P61" s="278"/>
      <c r="Q61" s="278"/>
      <c r="R61" s="278"/>
      <c r="S61" s="7"/>
      <c r="T61" s="73"/>
      <c r="U61" s="73"/>
      <c r="V61" s="73"/>
      <c r="W61" s="73"/>
      <c r="X61" s="73"/>
      <c r="Y61" s="73" t="s">
        <v>377</v>
      </c>
      <c r="AA61" s="1"/>
      <c r="AB61" s="73" t="s">
        <v>377</v>
      </c>
      <c r="AN61" s="88"/>
      <c r="AO61" s="88"/>
      <c r="AP61" s="88"/>
      <c r="AQ61" s="88"/>
      <c r="AR61" s="88"/>
      <c r="AS61" s="138"/>
      <c r="AT61" s="88"/>
      <c r="BB61" s="618">
        <v>88.39999999999975</v>
      </c>
      <c r="BC61" s="619">
        <v>0.98</v>
      </c>
      <c r="BD61" s="619">
        <v>1</v>
      </c>
      <c r="BE61" s="618">
        <v>88.39999999999975</v>
      </c>
      <c r="BF61" s="619">
        <v>0.91</v>
      </c>
      <c r="BG61" s="619">
        <v>1</v>
      </c>
      <c r="BH61" s="623">
        <f t="shared" si="5"/>
        <v>0.98</v>
      </c>
      <c r="BI61" s="623">
        <f t="shared" si="5"/>
        <v>1</v>
      </c>
    </row>
    <row r="62" spans="6:61" ht="15" customHeight="1" hidden="1">
      <c r="F62" s="543" t="s">
        <v>217</v>
      </c>
      <c r="G62" s="544"/>
      <c r="H62" s="545"/>
      <c r="I62" s="546"/>
      <c r="J62" s="544"/>
      <c r="K62" s="556"/>
      <c r="L62" s="544"/>
      <c r="M62" s="553"/>
      <c r="N62" s="245"/>
      <c r="O62" s="245"/>
      <c r="P62" s="245"/>
      <c r="Q62" s="245"/>
      <c r="R62" s="245"/>
      <c r="S62" s="7"/>
      <c r="T62" s="7"/>
      <c r="U62" s="7"/>
      <c r="V62" s="7"/>
      <c r="W62" s="7"/>
      <c r="X62" s="50">
        <v>2360</v>
      </c>
      <c r="Y62" s="50">
        <v>2360</v>
      </c>
      <c r="AA62" s="65">
        <v>2360</v>
      </c>
      <c r="AB62" s="65">
        <v>2360</v>
      </c>
      <c r="AN62" s="88"/>
      <c r="AO62" s="88"/>
      <c r="AP62" s="88"/>
      <c r="AQ62" s="88"/>
      <c r="AR62" s="88"/>
      <c r="AS62" s="138"/>
      <c r="AT62" s="88"/>
      <c r="BB62" s="618">
        <v>88.49999999999974</v>
      </c>
      <c r="BC62" s="619">
        <v>0.98</v>
      </c>
      <c r="BD62" s="619">
        <v>1</v>
      </c>
      <c r="BE62" s="618">
        <v>88.49999999999974</v>
      </c>
      <c r="BF62" s="619">
        <v>0.95</v>
      </c>
      <c r="BG62" s="619">
        <v>1</v>
      </c>
      <c r="BH62" s="623">
        <f t="shared" si="5"/>
        <v>0.98</v>
      </c>
      <c r="BI62" s="623">
        <f t="shared" si="5"/>
        <v>1</v>
      </c>
    </row>
    <row r="63" spans="6:61" ht="15" customHeight="1" hidden="1">
      <c r="F63" s="543" t="s">
        <v>218</v>
      </c>
      <c r="G63" s="544"/>
      <c r="H63" s="545"/>
      <c r="I63" s="546"/>
      <c r="J63" s="544"/>
      <c r="K63" s="556"/>
      <c r="L63" s="544"/>
      <c r="M63" s="553"/>
      <c r="N63" s="7"/>
      <c r="O63" s="102"/>
      <c r="P63" s="102"/>
      <c r="Q63" s="7"/>
      <c r="R63" s="7"/>
      <c r="S63" s="7"/>
      <c r="T63" s="7"/>
      <c r="U63" s="7"/>
      <c r="V63" s="7"/>
      <c r="W63" s="7"/>
      <c r="X63" s="50" t="s">
        <v>6</v>
      </c>
      <c r="Y63" s="50" t="s">
        <v>6</v>
      </c>
      <c r="AA63" s="65" t="s">
        <v>14</v>
      </c>
      <c r="AB63" s="65" t="s">
        <v>14</v>
      </c>
      <c r="AC63" s="62"/>
      <c r="AD63" s="62"/>
      <c r="AE63" s="62"/>
      <c r="AF63" s="62"/>
      <c r="AN63" s="88"/>
      <c r="AO63" s="88"/>
      <c r="AP63" s="88"/>
      <c r="AQ63" s="88"/>
      <c r="AR63" s="88"/>
      <c r="AS63" s="138"/>
      <c r="AT63" s="88"/>
      <c r="BB63" s="618">
        <v>88.59999999999974</v>
      </c>
      <c r="BC63" s="619">
        <v>0.98</v>
      </c>
      <c r="BD63" s="619">
        <v>1</v>
      </c>
      <c r="BE63" s="618">
        <v>88.59999999999974</v>
      </c>
      <c r="BF63" s="619">
        <v>0.95</v>
      </c>
      <c r="BG63" s="619">
        <v>1</v>
      </c>
      <c r="BH63" s="623">
        <f t="shared" si="5"/>
        <v>0.98</v>
      </c>
      <c r="BI63" s="623">
        <f t="shared" si="5"/>
        <v>1</v>
      </c>
    </row>
    <row r="64" spans="6:61" ht="15" customHeight="1" hidden="1">
      <c r="F64" s="543" t="s">
        <v>219</v>
      </c>
      <c r="G64" s="544"/>
      <c r="H64" s="545"/>
      <c r="I64" s="544"/>
      <c r="J64" s="544"/>
      <c r="K64" s="556"/>
      <c r="L64" s="544"/>
      <c r="M64" s="553"/>
      <c r="N64" s="7"/>
      <c r="O64" s="7"/>
      <c r="P64" s="7"/>
      <c r="Q64" s="7"/>
      <c r="R64" s="7"/>
      <c r="S64" s="7"/>
      <c r="T64" s="7"/>
      <c r="U64" s="7"/>
      <c r="V64" s="7"/>
      <c r="W64" s="7"/>
      <c r="X64" s="50" t="s">
        <v>12</v>
      </c>
      <c r="Y64" s="50" t="s">
        <v>12</v>
      </c>
      <c r="AA64" s="65" t="s">
        <v>378</v>
      </c>
      <c r="AB64" s="65" t="s">
        <v>378</v>
      </c>
      <c r="AC64" s="7"/>
      <c r="AD64" s="62"/>
      <c r="AE64" s="7"/>
      <c r="AF64" s="7"/>
      <c r="AN64" s="88"/>
      <c r="AO64" s="88"/>
      <c r="AP64" s="88"/>
      <c r="AQ64" s="88"/>
      <c r="AR64" s="88"/>
      <c r="AS64" s="138"/>
      <c r="AT64" s="88"/>
      <c r="BB64" s="618">
        <v>88.69999999999973</v>
      </c>
      <c r="BC64" s="619">
        <v>0.98</v>
      </c>
      <c r="BD64" s="619">
        <v>1</v>
      </c>
      <c r="BE64" s="618">
        <v>88.69999999999973</v>
      </c>
      <c r="BF64" s="619">
        <v>0.95</v>
      </c>
      <c r="BG64" s="619">
        <v>1</v>
      </c>
      <c r="BH64" s="623">
        <f t="shared" si="5"/>
        <v>0.98</v>
      </c>
      <c r="BI64" s="623">
        <f t="shared" si="5"/>
        <v>1</v>
      </c>
    </row>
    <row r="65" spans="6:61" ht="15" customHeight="1" hidden="1">
      <c r="F65" s="543" t="s">
        <v>220</v>
      </c>
      <c r="G65" s="544"/>
      <c r="H65" s="545"/>
      <c r="I65" s="547"/>
      <c r="J65" s="544"/>
      <c r="K65" s="556"/>
      <c r="L65" s="544"/>
      <c r="M65" s="553"/>
      <c r="N65" s="77"/>
      <c r="O65" s="7"/>
      <c r="P65" s="7"/>
      <c r="Q65" s="7"/>
      <c r="R65" s="7"/>
      <c r="S65" s="7"/>
      <c r="T65" s="7"/>
      <c r="U65" s="7"/>
      <c r="V65" s="7"/>
      <c r="W65" s="560" t="s">
        <v>224</v>
      </c>
      <c r="X65" s="50" t="s">
        <v>16</v>
      </c>
      <c r="Y65" s="50" t="s">
        <v>16</v>
      </c>
      <c r="Z65" s="65"/>
      <c r="AA65" s="50"/>
      <c r="AB65" s="62"/>
      <c r="AC65" s="7"/>
      <c r="AD65" s="7"/>
      <c r="AE65" s="7"/>
      <c r="AF65" s="7"/>
      <c r="AN65" s="88"/>
      <c r="AO65" s="88"/>
      <c r="AP65" s="88"/>
      <c r="AQ65" s="88"/>
      <c r="AR65" s="88"/>
      <c r="AS65" s="138"/>
      <c r="AT65" s="88"/>
      <c r="BB65" s="618">
        <v>88.79999999999973</v>
      </c>
      <c r="BC65" s="619">
        <v>0.98</v>
      </c>
      <c r="BD65" s="619">
        <v>1</v>
      </c>
      <c r="BE65" s="618">
        <v>88.79999999999973</v>
      </c>
      <c r="BF65" s="619">
        <v>0.95</v>
      </c>
      <c r="BG65" s="619">
        <v>1</v>
      </c>
      <c r="BH65" s="623">
        <f t="shared" si="5"/>
        <v>0.98</v>
      </c>
      <c r="BI65" s="623">
        <f t="shared" si="5"/>
        <v>1</v>
      </c>
    </row>
    <row r="66" spans="6:61" ht="15" customHeight="1" hidden="1">
      <c r="F66" s="543" t="s">
        <v>221</v>
      </c>
      <c r="G66" s="544"/>
      <c r="H66" s="545"/>
      <c r="I66" s="547"/>
      <c r="J66" s="544"/>
      <c r="K66" s="556"/>
      <c r="L66" s="544"/>
      <c r="M66" s="553"/>
      <c r="N66" s="7"/>
      <c r="O66" s="7"/>
      <c r="P66" s="7"/>
      <c r="Q66" s="7"/>
      <c r="R66" s="7"/>
      <c r="S66" s="7"/>
      <c r="T66" s="7"/>
      <c r="U66" s="7"/>
      <c r="V66" s="7"/>
      <c r="W66" s="560" t="s">
        <v>225</v>
      </c>
      <c r="X66" s="50" t="s">
        <v>376</v>
      </c>
      <c r="Y66" s="50" t="s">
        <v>376</v>
      </c>
      <c r="Z66" s="65"/>
      <c r="AN66" s="88"/>
      <c r="AO66" s="88"/>
      <c r="AP66" s="88"/>
      <c r="AQ66" s="88"/>
      <c r="AR66" s="88"/>
      <c r="AS66" s="138"/>
      <c r="AT66" s="88"/>
      <c r="BB66" s="618">
        <v>88.89999999999972</v>
      </c>
      <c r="BC66" s="619">
        <v>0.98</v>
      </c>
      <c r="BD66" s="619">
        <v>1</v>
      </c>
      <c r="BE66" s="618">
        <v>88.89999999999972</v>
      </c>
      <c r="BF66" s="619">
        <v>0.95</v>
      </c>
      <c r="BG66" s="619">
        <v>1</v>
      </c>
      <c r="BH66" s="623">
        <f t="shared" si="5"/>
        <v>0.98</v>
      </c>
      <c r="BI66" s="623">
        <f t="shared" si="5"/>
        <v>1</v>
      </c>
    </row>
    <row r="67" spans="6:61" ht="15" customHeight="1" hidden="1" thickBot="1">
      <c r="F67" s="543" t="s">
        <v>222</v>
      </c>
      <c r="G67" s="544"/>
      <c r="H67" s="545"/>
      <c r="I67" s="547"/>
      <c r="J67" s="544"/>
      <c r="K67" s="556"/>
      <c r="L67" s="544"/>
      <c r="M67" s="553"/>
      <c r="N67" s="7"/>
      <c r="O67" s="81"/>
      <c r="P67" s="81"/>
      <c r="Q67" s="11"/>
      <c r="R67" s="11"/>
      <c r="S67" s="11"/>
      <c r="T67" s="11"/>
      <c r="U67" s="11"/>
      <c r="V67" s="50" t="s">
        <v>379</v>
      </c>
      <c r="W67" s="699">
        <v>2</v>
      </c>
      <c r="X67" s="50">
        <v>3</v>
      </c>
      <c r="Y67" s="50">
        <v>4</v>
      </c>
      <c r="Z67" s="65">
        <v>5</v>
      </c>
      <c r="AA67" s="65">
        <v>6</v>
      </c>
      <c r="AB67" s="65">
        <v>7</v>
      </c>
      <c r="AN67" s="88"/>
      <c r="AO67" s="88"/>
      <c r="AP67" s="138"/>
      <c r="AQ67" s="88"/>
      <c r="AR67" s="88"/>
      <c r="AS67" s="138"/>
      <c r="AT67" s="88"/>
      <c r="BB67" s="618">
        <v>88.99999999999972</v>
      </c>
      <c r="BC67" s="619">
        <v>1</v>
      </c>
      <c r="BD67" s="619">
        <v>1</v>
      </c>
      <c r="BE67" s="618">
        <v>88.99999999999972</v>
      </c>
      <c r="BF67" s="619">
        <v>0.98</v>
      </c>
      <c r="BG67" s="619">
        <v>1</v>
      </c>
      <c r="BH67" s="623">
        <f t="shared" si="5"/>
        <v>1</v>
      </c>
      <c r="BI67" s="623">
        <f t="shared" si="5"/>
        <v>1</v>
      </c>
    </row>
    <row r="68" spans="6:61" ht="15" customHeight="1" hidden="1" thickBot="1">
      <c r="F68" s="543"/>
      <c r="G68" s="544"/>
      <c r="H68" s="545"/>
      <c r="I68" s="547"/>
      <c r="J68" s="544"/>
      <c r="K68" s="556"/>
      <c r="L68" s="544"/>
      <c r="M68" s="553"/>
      <c r="V68" s="227"/>
      <c r="W68" s="228">
        <v>2350</v>
      </c>
      <c r="X68" s="228">
        <v>2350</v>
      </c>
      <c r="Y68" s="228">
        <v>2350</v>
      </c>
      <c r="Z68" s="228">
        <v>2360</v>
      </c>
      <c r="AA68" s="228">
        <v>2360</v>
      </c>
      <c r="AB68" s="229">
        <v>2360</v>
      </c>
      <c r="AC68" s="92"/>
      <c r="AD68" s="92"/>
      <c r="AE68" s="92"/>
      <c r="AF68" s="92"/>
      <c r="AG68" s="92"/>
      <c r="AH68" s="92"/>
      <c r="AI68" s="92"/>
      <c r="AJ68" s="92"/>
      <c r="AK68" s="92"/>
      <c r="AL68" s="92"/>
      <c r="AM68" s="92"/>
      <c r="AN68" s="89"/>
      <c r="AO68" s="89"/>
      <c r="AP68" s="89"/>
      <c r="AQ68" s="89"/>
      <c r="AR68" s="89"/>
      <c r="AS68" s="90"/>
      <c r="AT68" s="89"/>
      <c r="AU68" s="92"/>
      <c r="AV68" s="92"/>
      <c r="AW68" s="92"/>
      <c r="AX68" s="92"/>
      <c r="AY68" s="92"/>
      <c r="BB68" s="618">
        <v>89.09999999999971</v>
      </c>
      <c r="BC68" s="619">
        <v>1</v>
      </c>
      <c r="BD68" s="619">
        <v>1.01</v>
      </c>
      <c r="BE68" s="618">
        <v>89.09999999999971</v>
      </c>
      <c r="BF68" s="619">
        <v>0.98</v>
      </c>
      <c r="BG68" s="619">
        <v>1</v>
      </c>
      <c r="BH68" s="623">
        <f t="shared" si="5"/>
        <v>1</v>
      </c>
      <c r="BI68" s="623">
        <f t="shared" si="5"/>
        <v>1.01</v>
      </c>
    </row>
    <row r="69" spans="6:61" ht="15" customHeight="1" hidden="1" thickBot="1">
      <c r="F69" s="543" t="s">
        <v>223</v>
      </c>
      <c r="G69" s="544"/>
      <c r="H69" s="545"/>
      <c r="I69" s="547"/>
      <c r="J69" s="544"/>
      <c r="K69" s="544"/>
      <c r="L69" s="559" t="s">
        <v>224</v>
      </c>
      <c r="M69" s="558"/>
      <c r="V69" s="230" t="s">
        <v>42</v>
      </c>
      <c r="W69" s="223">
        <v>-1</v>
      </c>
      <c r="X69" s="223">
        <v>2</v>
      </c>
      <c r="Y69" s="223" t="s">
        <v>43</v>
      </c>
      <c r="Z69" s="224" t="s">
        <v>44</v>
      </c>
      <c r="AA69" s="225" t="s">
        <v>45</v>
      </c>
      <c r="AB69" s="231">
        <v>6</v>
      </c>
      <c r="AC69" s="92"/>
      <c r="AD69" s="92"/>
      <c r="AE69" s="92"/>
      <c r="AF69" s="92"/>
      <c r="AG69" s="92"/>
      <c r="AH69" s="684" t="s">
        <v>354</v>
      </c>
      <c r="AI69" s="92"/>
      <c r="AJ69" s="92"/>
      <c r="AK69" s="92"/>
      <c r="AL69" s="92"/>
      <c r="AM69" s="92"/>
      <c r="AN69" s="89"/>
      <c r="AO69" s="89"/>
      <c r="AP69" s="89"/>
      <c r="AQ69" s="89"/>
      <c r="AR69" s="89"/>
      <c r="AS69" s="90"/>
      <c r="AT69" s="89"/>
      <c r="AU69" s="92"/>
      <c r="AV69" s="92"/>
      <c r="AW69" s="92"/>
      <c r="AX69" s="92"/>
      <c r="AY69" s="92"/>
      <c r="BB69" s="618">
        <v>89.1999999999997</v>
      </c>
      <c r="BC69" s="619">
        <v>1</v>
      </c>
      <c r="BD69" s="619">
        <v>1.01</v>
      </c>
      <c r="BE69" s="618">
        <v>89.1999999999997</v>
      </c>
      <c r="BF69" s="619">
        <v>0.98</v>
      </c>
      <c r="BG69" s="619">
        <v>1</v>
      </c>
      <c r="BH69" s="623">
        <f t="shared" si="5"/>
        <v>1</v>
      </c>
      <c r="BI69" s="623">
        <f t="shared" si="5"/>
        <v>1.01</v>
      </c>
    </row>
    <row r="70" spans="6:61" ht="15" customHeight="1" hidden="1">
      <c r="F70" s="543"/>
      <c r="G70" s="544"/>
      <c r="H70" s="545"/>
      <c r="I70" s="547"/>
      <c r="J70" s="544"/>
      <c r="K70" s="556"/>
      <c r="L70" s="544"/>
      <c r="M70" s="553"/>
      <c r="V70" s="230"/>
      <c r="W70" s="223" t="s">
        <v>46</v>
      </c>
      <c r="X70" s="223" t="s">
        <v>47</v>
      </c>
      <c r="Y70" s="223" t="s">
        <v>162</v>
      </c>
      <c r="Z70" s="224" t="s">
        <v>48</v>
      </c>
      <c r="AA70" s="225"/>
      <c r="AB70" s="232" t="s">
        <v>49</v>
      </c>
      <c r="AC70" s="92"/>
      <c r="AD70" s="327"/>
      <c r="AE70" s="328" t="s">
        <v>50</v>
      </c>
      <c r="AF70" s="328" t="s">
        <v>51</v>
      </c>
      <c r="AG70" s="328" t="s">
        <v>52</v>
      </c>
      <c r="AH70" s="328" t="s">
        <v>53</v>
      </c>
      <c r="AI70" s="329" t="s">
        <v>54</v>
      </c>
      <c r="AJ70" s="92"/>
      <c r="AK70" s="92"/>
      <c r="AL70" s="92"/>
      <c r="AM70" s="92"/>
      <c r="AN70" s="85"/>
      <c r="AO70" s="85"/>
      <c r="AP70" s="85"/>
      <c r="AQ70" s="85"/>
      <c r="AR70" s="85"/>
      <c r="AS70" s="85"/>
      <c r="AT70" s="85"/>
      <c r="AU70" s="92"/>
      <c r="AV70" s="92"/>
      <c r="AW70" s="92"/>
      <c r="AX70" s="92"/>
      <c r="AY70" s="92"/>
      <c r="BB70" s="618">
        <v>89.2999999999997</v>
      </c>
      <c r="BC70" s="619">
        <v>1</v>
      </c>
      <c r="BD70" s="619">
        <v>1.01</v>
      </c>
      <c r="BE70" s="618">
        <v>89.2999999999997</v>
      </c>
      <c r="BF70" s="619">
        <v>0.98</v>
      </c>
      <c r="BG70" s="619">
        <v>1</v>
      </c>
      <c r="BH70" s="623">
        <f t="shared" si="5"/>
        <v>1</v>
      </c>
      <c r="BI70" s="623">
        <f t="shared" si="5"/>
        <v>1.01</v>
      </c>
    </row>
    <row r="71" spans="6:61" ht="15" customHeight="1" hidden="1" thickBot="1">
      <c r="F71" s="548"/>
      <c r="G71" s="549" t="s">
        <v>226</v>
      </c>
      <c r="H71" s="550"/>
      <c r="I71" s="551"/>
      <c r="J71" s="578" t="e">
        <f>+mndot_rounding_1((D10*D12+E10*E12+F10*F12+G10*G12+H10*H12+I10*I12+J10*J12+K10*K12+L10*L12)/(D10+E10+F10+G10+H10+I10+J10+K10+L10))</f>
        <v>#VALUE!</v>
      </c>
      <c r="K71" s="557"/>
      <c r="L71" s="549"/>
      <c r="M71" s="554"/>
      <c r="V71" s="259"/>
      <c r="W71" s="233"/>
      <c r="X71" s="325" t="s">
        <v>161</v>
      </c>
      <c r="Y71" s="325" t="s">
        <v>161</v>
      </c>
      <c r="Z71" s="233"/>
      <c r="AA71" s="233"/>
      <c r="AB71" s="326"/>
      <c r="AC71" s="179"/>
      <c r="AD71" s="238" t="s">
        <v>6</v>
      </c>
      <c r="AE71" s="179">
        <v>2.5</v>
      </c>
      <c r="AF71" s="179">
        <v>92</v>
      </c>
      <c r="AG71" s="180">
        <v>3</v>
      </c>
      <c r="AH71" s="180">
        <v>2</v>
      </c>
      <c r="AI71" s="186">
        <v>1</v>
      </c>
      <c r="AJ71" s="92"/>
      <c r="AK71" s="92"/>
      <c r="AL71" s="92"/>
      <c r="AM71" s="92"/>
      <c r="AN71" s="92"/>
      <c r="AO71" s="92"/>
      <c r="AP71" s="92"/>
      <c r="AQ71" s="92"/>
      <c r="AR71" s="92"/>
      <c r="AS71" s="92"/>
      <c r="AT71" s="92"/>
      <c r="AU71" s="92"/>
      <c r="AV71" s="92"/>
      <c r="AW71" s="92"/>
      <c r="AX71" s="92"/>
      <c r="AY71" s="92"/>
      <c r="BB71" s="618">
        <v>89.3999999999997</v>
      </c>
      <c r="BC71" s="619">
        <v>1</v>
      </c>
      <c r="BD71" s="619">
        <v>1.01</v>
      </c>
      <c r="BE71" s="618">
        <v>89.3999999999997</v>
      </c>
      <c r="BF71" s="619">
        <v>0.98</v>
      </c>
      <c r="BG71" s="619">
        <v>1</v>
      </c>
      <c r="BH71" s="623">
        <f t="shared" si="5"/>
        <v>1</v>
      </c>
      <c r="BI71" s="623">
        <f t="shared" si="5"/>
        <v>1.01</v>
      </c>
    </row>
    <row r="72" spans="8:61" ht="15" customHeight="1" hidden="1">
      <c r="H72" s="133"/>
      <c r="I72" s="67"/>
      <c r="K72" s="65"/>
      <c r="V72" s="185">
        <v>82.70000000000024</v>
      </c>
      <c r="W72" s="212" t="s">
        <v>160</v>
      </c>
      <c r="X72" s="212" t="s">
        <v>160</v>
      </c>
      <c r="Y72" s="212" t="s">
        <v>160</v>
      </c>
      <c r="Z72" s="212" t="s">
        <v>160</v>
      </c>
      <c r="AA72" s="212" t="s">
        <v>160</v>
      </c>
      <c r="AB72" s="237" t="s">
        <v>160</v>
      </c>
      <c r="AC72" s="179"/>
      <c r="AD72" s="238" t="s">
        <v>65</v>
      </c>
      <c r="AE72" s="179">
        <v>2.5</v>
      </c>
      <c r="AF72" s="179">
        <v>91</v>
      </c>
      <c r="AG72" s="180">
        <v>4</v>
      </c>
      <c r="AH72" s="180">
        <v>1</v>
      </c>
      <c r="AI72" s="186">
        <v>1</v>
      </c>
      <c r="AJ72" s="92"/>
      <c r="AK72" s="92"/>
      <c r="AL72" s="175"/>
      <c r="AM72" s="175"/>
      <c r="AN72" s="175"/>
      <c r="AO72" s="175"/>
      <c r="AP72" s="175"/>
      <c r="AQ72" s="175"/>
      <c r="AR72" s="175"/>
      <c r="AS72" s="175"/>
      <c r="AT72" s="85" t="s">
        <v>57</v>
      </c>
      <c r="AU72" s="85"/>
      <c r="AV72" s="85">
        <f>V9</f>
        <v>0</v>
      </c>
      <c r="AW72" s="175"/>
      <c r="AX72" s="91">
        <v>0</v>
      </c>
      <c r="AY72" s="82">
        <f>AN84</f>
        <v>0</v>
      </c>
      <c r="BB72" s="618">
        <v>89.49999999999969</v>
      </c>
      <c r="BC72" s="619">
        <v>1</v>
      </c>
      <c r="BD72" s="619">
        <v>1.01</v>
      </c>
      <c r="BE72" s="618">
        <v>89.49999999999969</v>
      </c>
      <c r="BF72" s="619">
        <v>0.98</v>
      </c>
      <c r="BG72" s="619">
        <v>1</v>
      </c>
      <c r="BH72" s="623">
        <f t="shared" si="5"/>
        <v>1</v>
      </c>
      <c r="BI72" s="623">
        <f t="shared" si="5"/>
        <v>1.01</v>
      </c>
    </row>
    <row r="73" spans="1:61" ht="12.75" hidden="1">
      <c r="A73" s="1" t="s">
        <v>251</v>
      </c>
      <c r="C73" s="1" t="s">
        <v>252</v>
      </c>
      <c r="D73" s="1">
        <v>1</v>
      </c>
      <c r="E73" s="1">
        <v>2</v>
      </c>
      <c r="F73" s="1">
        <v>3</v>
      </c>
      <c r="G73" s="1">
        <v>4</v>
      </c>
      <c r="H73" s="1">
        <v>5</v>
      </c>
      <c r="I73" s="1">
        <v>6</v>
      </c>
      <c r="J73" s="1">
        <v>7</v>
      </c>
      <c r="K73" s="1">
        <v>8</v>
      </c>
      <c r="L73" s="1">
        <v>9</v>
      </c>
      <c r="V73" s="185">
        <v>82.80000000000024</v>
      </c>
      <c r="W73" s="212" t="s">
        <v>160</v>
      </c>
      <c r="X73" s="212" t="s">
        <v>160</v>
      </c>
      <c r="Y73" s="212" t="s">
        <v>160</v>
      </c>
      <c r="Z73" s="212" t="s">
        <v>160</v>
      </c>
      <c r="AA73" s="212" t="s">
        <v>160</v>
      </c>
      <c r="AB73" s="237" t="s">
        <v>160</v>
      </c>
      <c r="AC73" s="179"/>
      <c r="AD73" s="238" t="s">
        <v>12</v>
      </c>
      <c r="AE73" s="179">
        <v>3</v>
      </c>
      <c r="AF73" s="179">
        <v>92</v>
      </c>
      <c r="AG73" s="180">
        <v>3</v>
      </c>
      <c r="AH73" s="180">
        <v>2</v>
      </c>
      <c r="AI73" s="186">
        <v>2</v>
      </c>
      <c r="AJ73" s="92"/>
      <c r="AK73" s="92"/>
      <c r="AL73" s="175"/>
      <c r="AM73" s="175"/>
      <c r="AN73" s="175"/>
      <c r="AO73" s="175"/>
      <c r="AP73" s="175"/>
      <c r="AQ73" s="175"/>
      <c r="AR73" s="175"/>
      <c r="AS73" s="175"/>
      <c r="AT73" s="85" t="s">
        <v>60</v>
      </c>
      <c r="AU73" s="85"/>
      <c r="AV73" s="85" t="e">
        <f>R12</f>
        <v>#N/A</v>
      </c>
      <c r="AW73" s="175"/>
      <c r="AX73" s="213">
        <f>IF(AO81=0,$AV$72+0.1,AO81*R10)</f>
        <v>0.1</v>
      </c>
      <c r="AY73" s="89">
        <f>IF(AO84="",AN84,AO84)</f>
        <v>0</v>
      </c>
      <c r="BB73" s="618">
        <v>89.59999999999968</v>
      </c>
      <c r="BC73" s="619">
        <v>1</v>
      </c>
      <c r="BD73" s="619">
        <v>1.02</v>
      </c>
      <c r="BE73" s="618">
        <v>89.59999999999968</v>
      </c>
      <c r="BF73" s="619">
        <v>0.98</v>
      </c>
      <c r="BG73" s="619">
        <v>1</v>
      </c>
      <c r="BH73" s="623">
        <f t="shared" si="5"/>
        <v>1</v>
      </c>
      <c r="BI73" s="623">
        <f t="shared" si="5"/>
        <v>1.02</v>
      </c>
    </row>
    <row r="74" spans="1:61" ht="12.75" hidden="1">
      <c r="A74" s="1" t="s">
        <v>253</v>
      </c>
      <c r="B74" s="753" t="s">
        <v>254</v>
      </c>
      <c r="C74" s="753"/>
      <c r="D74" s="656">
        <f>+mndot_rounding_3(D13/1)</f>
        <v>0</v>
      </c>
      <c r="E74" s="656">
        <f>+mndot_rounding_3((D13+E13)/2)</f>
        <v>0</v>
      </c>
      <c r="F74" s="656">
        <f>+mndot_rounding_3((D13+E13+F13)/3)</f>
        <v>0</v>
      </c>
      <c r="G74" s="656">
        <f>+mndot_rounding_3((D13+E13+F13+G13)/4)</f>
        <v>0</v>
      </c>
      <c r="H74" s="656">
        <f>+mndot_rounding_3((D13+E13+F13+G13+H13)/5)</f>
        <v>0</v>
      </c>
      <c r="I74" s="656">
        <f>+mndot_rounding_3((D13+E13+F13+G13+H13+I13)/6)</f>
        <v>0</v>
      </c>
      <c r="J74" s="656">
        <f>+mndot_rounding_3((D13+E13+F13+G13+H13+I13+J13)/7)</f>
        <v>0</v>
      </c>
      <c r="K74" s="656">
        <f>+mndot_rounding_3((D13+E13+F13+G13+H13+I13+J13+K13)/8)</f>
        <v>0</v>
      </c>
      <c r="L74" s="656">
        <f>+mndot_rounding_3((D13+E13+F13+G13+H13+I13+J13+K13+L13)/9)</f>
        <v>0</v>
      </c>
      <c r="V74" s="185">
        <v>82.90000000000023</v>
      </c>
      <c r="W74" s="212" t="s">
        <v>160</v>
      </c>
      <c r="X74" s="212" t="s">
        <v>160</v>
      </c>
      <c r="Y74" s="212" t="s">
        <v>160</v>
      </c>
      <c r="Z74" s="212" t="s">
        <v>160</v>
      </c>
      <c r="AA74" s="212" t="s">
        <v>160</v>
      </c>
      <c r="AB74" s="237" t="s">
        <v>160</v>
      </c>
      <c r="AC74" s="179"/>
      <c r="AD74" s="185" t="s">
        <v>68</v>
      </c>
      <c r="AE74" s="179">
        <v>3</v>
      </c>
      <c r="AF74" s="179">
        <v>91</v>
      </c>
      <c r="AG74" s="180">
        <v>4</v>
      </c>
      <c r="AH74" s="180">
        <v>1</v>
      </c>
      <c r="AI74" s="186">
        <v>2</v>
      </c>
      <c r="AJ74" s="92"/>
      <c r="AK74" s="92"/>
      <c r="AL74" s="175"/>
      <c r="AM74" s="175"/>
      <c r="AN74" s="175"/>
      <c r="AO74" s="175"/>
      <c r="AP74" s="175"/>
      <c r="AQ74" s="175"/>
      <c r="AR74" s="175"/>
      <c r="AS74" s="175"/>
      <c r="AT74" s="85" t="s">
        <v>62</v>
      </c>
      <c r="AU74" s="85"/>
      <c r="AV74" s="89" t="e">
        <f>V11</f>
        <v>#N/A</v>
      </c>
      <c r="AW74" s="175"/>
      <c r="AX74" s="213">
        <f>IF(AP81=0,$AV$72+0.1,AP81*R10)</f>
        <v>0.1</v>
      </c>
      <c r="AY74" s="82">
        <f>IF(AND(AP84="",AO84=""),AN84,IF(AP84="",AO84,AP84))</f>
        <v>0</v>
      </c>
      <c r="BB74" s="618">
        <v>89.69999999999968</v>
      </c>
      <c r="BC74" s="619">
        <v>1</v>
      </c>
      <c r="BD74" s="619">
        <v>1.02</v>
      </c>
      <c r="BE74" s="618">
        <v>89.69999999999968</v>
      </c>
      <c r="BF74" s="619">
        <v>0.98</v>
      </c>
      <c r="BG74" s="619">
        <v>1</v>
      </c>
      <c r="BH74" s="623">
        <f t="shared" si="5"/>
        <v>1</v>
      </c>
      <c r="BI74" s="623">
        <f t="shared" si="5"/>
        <v>1.02</v>
      </c>
    </row>
    <row r="75" spans="2:61" ht="12.75" hidden="1">
      <c r="B75" s="655" t="s">
        <v>255</v>
      </c>
      <c r="C75" s="655"/>
      <c r="D75" s="1">
        <f aca="true" t="shared" si="13" ref="D75:L75">+IF(D13&gt;1,1,0)</f>
        <v>0</v>
      </c>
      <c r="E75" s="1">
        <f t="shared" si="13"/>
        <v>0</v>
      </c>
      <c r="F75" s="1">
        <f t="shared" si="13"/>
        <v>0</v>
      </c>
      <c r="G75" s="1">
        <f t="shared" si="13"/>
        <v>0</v>
      </c>
      <c r="H75" s="1">
        <f t="shared" si="13"/>
        <v>0</v>
      </c>
      <c r="I75" s="1">
        <f t="shared" si="13"/>
        <v>0</v>
      </c>
      <c r="J75" s="1">
        <f t="shared" si="13"/>
        <v>0</v>
      </c>
      <c r="K75" s="1">
        <f t="shared" si="13"/>
        <v>0</v>
      </c>
      <c r="L75" s="1">
        <f t="shared" si="13"/>
        <v>0</v>
      </c>
      <c r="V75" s="185">
        <v>83.00000000000023</v>
      </c>
      <c r="W75" s="212" t="s">
        <v>160</v>
      </c>
      <c r="X75" s="212" t="s">
        <v>160</v>
      </c>
      <c r="Y75" s="212" t="s">
        <v>160</v>
      </c>
      <c r="Z75" s="212" t="s">
        <v>160</v>
      </c>
      <c r="AA75" s="212" t="s">
        <v>160</v>
      </c>
      <c r="AB75" s="237" t="s">
        <v>160</v>
      </c>
      <c r="AC75" s="179"/>
      <c r="AD75" s="330" t="s">
        <v>14</v>
      </c>
      <c r="AE75" s="179">
        <v>2.5</v>
      </c>
      <c r="AF75" s="179">
        <v>93</v>
      </c>
      <c r="AG75" s="180">
        <v>6</v>
      </c>
      <c r="AH75" s="180">
        <v>2</v>
      </c>
      <c r="AI75" s="186">
        <v>1</v>
      </c>
      <c r="AJ75" s="166" t="s">
        <v>63</v>
      </c>
      <c r="AK75" s="167">
        <v>1</v>
      </c>
      <c r="AL75" s="175"/>
      <c r="AM75" s="175"/>
      <c r="AN75" s="175"/>
      <c r="AO75" s="175"/>
      <c r="AP75" s="175"/>
      <c r="AQ75" s="175"/>
      <c r="AR75" s="175"/>
      <c r="AS75" s="175"/>
      <c r="AT75" s="92"/>
      <c r="AU75" s="92"/>
      <c r="AV75" s="92">
        <f>I15</f>
        <v>3.5</v>
      </c>
      <c r="AW75" s="175"/>
      <c r="AX75" s="213">
        <f>IF(AQ81=0,$AV$72+0.1,AQ81*R10)</f>
        <v>0.1</v>
      </c>
      <c r="AY75" s="82">
        <f>IF(AQ84="",AP84,AQ84)</f>
        <v>0</v>
      </c>
      <c r="BB75" s="618">
        <v>89.79999999999967</v>
      </c>
      <c r="BC75" s="619">
        <v>1</v>
      </c>
      <c r="BD75" s="619">
        <v>1.02</v>
      </c>
      <c r="BE75" s="618">
        <v>89.79999999999967</v>
      </c>
      <c r="BF75" s="619">
        <v>0.98</v>
      </c>
      <c r="BG75" s="619">
        <v>1</v>
      </c>
      <c r="BH75" s="623">
        <f t="shared" si="5"/>
        <v>1</v>
      </c>
      <c r="BI75" s="623">
        <f t="shared" si="5"/>
        <v>1.02</v>
      </c>
    </row>
    <row r="76" spans="2:61" ht="12.75" hidden="1">
      <c r="B76" s="655" t="s">
        <v>256</v>
      </c>
      <c r="C76" s="655"/>
      <c r="D76" s="1">
        <f>+SUM(D75:L75)</f>
        <v>0</v>
      </c>
      <c r="V76" s="185">
        <v>83.10000000000022</v>
      </c>
      <c r="W76" s="212" t="s">
        <v>160</v>
      </c>
      <c r="X76" s="212" t="s">
        <v>160</v>
      </c>
      <c r="Y76" s="212" t="s">
        <v>160</v>
      </c>
      <c r="Z76" s="212" t="s">
        <v>160</v>
      </c>
      <c r="AA76" s="212" t="s">
        <v>160</v>
      </c>
      <c r="AB76" s="237" t="s">
        <v>160</v>
      </c>
      <c r="AC76" s="179"/>
      <c r="AD76" s="330" t="s">
        <v>69</v>
      </c>
      <c r="AE76" s="179">
        <v>2.5</v>
      </c>
      <c r="AF76" s="179">
        <v>92</v>
      </c>
      <c r="AG76" s="180">
        <v>7</v>
      </c>
      <c r="AH76" s="180">
        <v>1</v>
      </c>
      <c r="AI76" s="186">
        <v>1</v>
      </c>
      <c r="AJ76" s="85" t="s">
        <v>66</v>
      </c>
      <c r="AK76" s="169">
        <v>1</v>
      </c>
      <c r="AL76" s="175"/>
      <c r="AM76" s="175"/>
      <c r="AN76" s="175"/>
      <c r="AO76" s="175"/>
      <c r="AP76" s="175"/>
      <c r="AQ76" s="175"/>
      <c r="AR76" s="334">
        <f>IF(R7="","",V15)</f>
      </c>
      <c r="AS76" s="175"/>
      <c r="AT76" s="171">
        <f>IF(R7="",N9,AR76)</f>
        <v>0</v>
      </c>
      <c r="AU76" s="92"/>
      <c r="AV76" s="172">
        <f>L15</f>
        <v>92</v>
      </c>
      <c r="AW76" s="175"/>
      <c r="AX76" s="213">
        <f>IF(AR81=0,$AV$72+0.1,AR81*R10)</f>
        <v>0.1</v>
      </c>
      <c r="AY76" s="94">
        <f>IF(AR84="",AQ84,AR84)</f>
        <v>0</v>
      </c>
      <c r="BB76" s="618">
        <v>89.89999999999966</v>
      </c>
      <c r="BC76" s="619">
        <v>1</v>
      </c>
      <c r="BD76" s="619">
        <v>1.02</v>
      </c>
      <c r="BE76" s="618">
        <v>89.89999999999966</v>
      </c>
      <c r="BF76" s="619">
        <v>0.98</v>
      </c>
      <c r="BG76" s="619">
        <v>1</v>
      </c>
      <c r="BH76" s="623">
        <f t="shared" si="5"/>
        <v>1</v>
      </c>
      <c r="BI76" s="623">
        <f t="shared" si="5"/>
        <v>1.02</v>
      </c>
    </row>
    <row r="77" spans="2:61" ht="12.75" hidden="1">
      <c r="B77" s="655"/>
      <c r="C77" s="655"/>
      <c r="V77" s="185">
        <v>83.20000000000022</v>
      </c>
      <c r="W77" s="212" t="s">
        <v>160</v>
      </c>
      <c r="X77" s="212" t="s">
        <v>160</v>
      </c>
      <c r="Y77" s="212" t="s">
        <v>160</v>
      </c>
      <c r="Z77" s="212" t="s">
        <v>160</v>
      </c>
      <c r="AA77" s="212" t="s">
        <v>160</v>
      </c>
      <c r="AB77" s="237" t="s">
        <v>160</v>
      </c>
      <c r="AC77" s="180"/>
      <c r="AD77" s="331" t="s">
        <v>163</v>
      </c>
      <c r="AE77" s="180">
        <v>2.5</v>
      </c>
      <c r="AF77" s="180">
        <v>93</v>
      </c>
      <c r="AG77" s="180">
        <v>6</v>
      </c>
      <c r="AH77" s="180">
        <v>2</v>
      </c>
      <c r="AI77" s="186">
        <v>1</v>
      </c>
      <c r="AJ77" s="173" t="s">
        <v>67</v>
      </c>
      <c r="AK77" s="174">
        <v>2</v>
      </c>
      <c r="AL77" s="92"/>
      <c r="AM77" s="92"/>
      <c r="AN77" s="92"/>
      <c r="AO77" s="92"/>
      <c r="AP77" s="92"/>
      <c r="AQ77" s="92"/>
      <c r="AR77" s="92"/>
      <c r="AS77" s="92"/>
      <c r="AT77" s="92"/>
      <c r="AU77" s="92"/>
      <c r="AV77" s="92"/>
      <c r="AW77" s="92"/>
      <c r="AX77" s="213">
        <f>IF(AS81=0,$AV$72+0.1,AS81*R10)</f>
        <v>0.1</v>
      </c>
      <c r="AY77" s="94">
        <f>IF(AS84="",AR84,AS84)</f>
        <v>0</v>
      </c>
      <c r="BB77" s="618">
        <v>89.99999999999966</v>
      </c>
      <c r="BC77" s="619">
        <v>1</v>
      </c>
      <c r="BD77" s="619">
        <v>1.02</v>
      </c>
      <c r="BE77" s="618">
        <v>89.99999999999966</v>
      </c>
      <c r="BF77" s="619">
        <v>1</v>
      </c>
      <c r="BG77" s="619">
        <v>1</v>
      </c>
      <c r="BH77" s="623">
        <f t="shared" si="5"/>
        <v>1</v>
      </c>
      <c r="BI77" s="623">
        <f t="shared" si="5"/>
        <v>1.02</v>
      </c>
    </row>
    <row r="78" spans="2:61" ht="12.75" hidden="1">
      <c r="B78" s="1" t="s">
        <v>257</v>
      </c>
      <c r="D78" s="1" t="e">
        <f>+HLOOKUP(D76,A73:L74,2,TRUE)</f>
        <v>#N/A</v>
      </c>
      <c r="V78" s="185">
        <v>83.30000000000021</v>
      </c>
      <c r="W78" s="212" t="s">
        <v>160</v>
      </c>
      <c r="X78" s="212" t="s">
        <v>160</v>
      </c>
      <c r="Y78" s="212" t="s">
        <v>160</v>
      </c>
      <c r="Z78" s="212" t="s">
        <v>160</v>
      </c>
      <c r="AA78" s="212" t="s">
        <v>160</v>
      </c>
      <c r="AB78" s="237" t="s">
        <v>160</v>
      </c>
      <c r="AC78" s="180"/>
      <c r="AD78" s="185" t="s">
        <v>165</v>
      </c>
      <c r="AE78" s="180">
        <v>2.5</v>
      </c>
      <c r="AF78" s="180">
        <v>92</v>
      </c>
      <c r="AG78" s="180">
        <v>7</v>
      </c>
      <c r="AH78" s="180">
        <v>1</v>
      </c>
      <c r="AI78" s="186">
        <v>1</v>
      </c>
      <c r="AJ78" s="92"/>
      <c r="AK78" s="92"/>
      <c r="AL78" s="175"/>
      <c r="AM78" s="175"/>
      <c r="AN78" s="175"/>
      <c r="AO78" s="175"/>
      <c r="AP78" s="175"/>
      <c r="AQ78" s="175"/>
      <c r="AR78" s="175"/>
      <c r="AS78" s="92"/>
      <c r="AT78" s="92"/>
      <c r="AU78" s="92"/>
      <c r="AV78" s="92"/>
      <c r="AW78" s="92"/>
      <c r="AX78" s="213">
        <f>IF(AT81=0,$AV$72+0.1,AT81*R10)</f>
        <v>0.1</v>
      </c>
      <c r="AY78" s="94">
        <f>IF(AT84="",AS84,AT84)</f>
        <v>0</v>
      </c>
      <c r="BB78" s="618">
        <v>90.09999999999965</v>
      </c>
      <c r="BC78" s="619">
        <v>1</v>
      </c>
      <c r="BD78" s="619">
        <v>1.02</v>
      </c>
      <c r="BE78" s="618">
        <v>90.09999999999965</v>
      </c>
      <c r="BF78" s="619">
        <v>1</v>
      </c>
      <c r="BG78" s="619">
        <v>1.01</v>
      </c>
      <c r="BH78" s="623">
        <f t="shared" si="5"/>
        <v>1</v>
      </c>
      <c r="BI78" s="623">
        <f t="shared" si="5"/>
        <v>1.02</v>
      </c>
    </row>
    <row r="79" spans="22:61" ht="12.75" hidden="1">
      <c r="V79" s="185">
        <v>83.4000000000002</v>
      </c>
      <c r="W79" s="212" t="s">
        <v>160</v>
      </c>
      <c r="X79" s="212" t="s">
        <v>160</v>
      </c>
      <c r="Y79" s="212" t="s">
        <v>160</v>
      </c>
      <c r="Z79" s="212" t="s">
        <v>160</v>
      </c>
      <c r="AA79" s="212" t="s">
        <v>160</v>
      </c>
      <c r="AB79" s="237" t="s">
        <v>160</v>
      </c>
      <c r="AC79" s="180"/>
      <c r="AD79" s="331" t="s">
        <v>164</v>
      </c>
      <c r="AE79" s="180">
        <v>3.5</v>
      </c>
      <c r="AF79" s="180">
        <v>92</v>
      </c>
      <c r="AG79" s="180">
        <v>3</v>
      </c>
      <c r="AH79" s="180">
        <v>2</v>
      </c>
      <c r="AI79" s="186">
        <v>3</v>
      </c>
      <c r="AJ79" s="92"/>
      <c r="AK79" s="176"/>
      <c r="AL79" s="175"/>
      <c r="AM79" s="175"/>
      <c r="AN79" s="175"/>
      <c r="AO79" s="175"/>
      <c r="AP79" s="175"/>
      <c r="AQ79" s="175"/>
      <c r="AR79" s="175"/>
      <c r="AS79" s="92"/>
      <c r="AT79" s="91"/>
      <c r="AU79" s="91"/>
      <c r="AV79" s="87"/>
      <c r="AW79" s="92"/>
      <c r="AX79" s="213">
        <f>IF(AU81=0,$AV$72+0.1,AU81*R10)</f>
        <v>0.1</v>
      </c>
      <c r="AY79" s="94">
        <f>IF(AU84="",AT84,AU84)</f>
        <v>0</v>
      </c>
      <c r="BB79" s="618">
        <v>90.19999999999965</v>
      </c>
      <c r="BC79" s="619">
        <v>1</v>
      </c>
      <c r="BD79" s="619">
        <v>1.02</v>
      </c>
      <c r="BE79" s="618">
        <v>90.19999999999965</v>
      </c>
      <c r="BF79" s="619">
        <v>1</v>
      </c>
      <c r="BG79" s="619">
        <v>1.01</v>
      </c>
      <c r="BH79" s="623">
        <f t="shared" si="5"/>
        <v>1</v>
      </c>
      <c r="BI79" s="623">
        <f t="shared" si="5"/>
        <v>1.02</v>
      </c>
    </row>
    <row r="80" spans="4:61" ht="12.75" hidden="1">
      <c r="D80" s="1">
        <v>1</v>
      </c>
      <c r="E80" s="1">
        <v>2</v>
      </c>
      <c r="F80" s="1">
        <v>3</v>
      </c>
      <c r="G80" s="1">
        <v>4</v>
      </c>
      <c r="H80" s="1">
        <v>5</v>
      </c>
      <c r="I80" s="1">
        <v>6</v>
      </c>
      <c r="J80" s="1">
        <v>7</v>
      </c>
      <c r="K80" s="1">
        <v>8</v>
      </c>
      <c r="L80" s="1">
        <v>9</v>
      </c>
      <c r="V80" s="185">
        <v>83.5000000000002</v>
      </c>
      <c r="W80" s="212" t="s">
        <v>160</v>
      </c>
      <c r="X80" s="212" t="s">
        <v>160</v>
      </c>
      <c r="Y80" s="212" t="s">
        <v>160</v>
      </c>
      <c r="Z80" s="212" t="s">
        <v>160</v>
      </c>
      <c r="AA80" s="212" t="s">
        <v>160</v>
      </c>
      <c r="AB80" s="237" t="s">
        <v>160</v>
      </c>
      <c r="AC80" s="180"/>
      <c r="AD80" s="185" t="s">
        <v>166</v>
      </c>
      <c r="AE80" s="180">
        <v>3.5</v>
      </c>
      <c r="AF80" s="180">
        <v>91</v>
      </c>
      <c r="AG80" s="180">
        <v>4</v>
      </c>
      <c r="AH80" s="180">
        <v>1</v>
      </c>
      <c r="AI80" s="186">
        <v>2</v>
      </c>
      <c r="AJ80" s="92" t="s">
        <v>54</v>
      </c>
      <c r="AK80" s="85">
        <f>VLOOKUP($N$10,$AD$71:$AI$82,6)</f>
        <v>3</v>
      </c>
      <c r="AL80" s="163" t="s">
        <v>55</v>
      </c>
      <c r="AM80" s="83" t="s">
        <v>56</v>
      </c>
      <c r="AN80" s="84">
        <v>1</v>
      </c>
      <c r="AO80" s="84">
        <v>2</v>
      </c>
      <c r="AP80" s="84">
        <v>3</v>
      </c>
      <c r="AQ80" s="84">
        <v>4</v>
      </c>
      <c r="AR80" s="84">
        <v>5</v>
      </c>
      <c r="AS80" s="84">
        <v>6</v>
      </c>
      <c r="AT80" s="164">
        <v>7</v>
      </c>
      <c r="AU80" s="84">
        <v>8</v>
      </c>
      <c r="AV80" s="164">
        <v>9</v>
      </c>
      <c r="AW80" s="92"/>
      <c r="AX80" s="213">
        <f>IF(AV81=0,$AV$72+0.1,AV81*R10)</f>
        <v>0.1</v>
      </c>
      <c r="AY80" s="94">
        <f>IF(AV84="",AU84,AV84)</f>
        <v>0</v>
      </c>
      <c r="BB80" s="618">
        <v>90.29999999999964</v>
      </c>
      <c r="BC80" s="619">
        <v>1</v>
      </c>
      <c r="BD80" s="619">
        <v>1.02</v>
      </c>
      <c r="BE80" s="618">
        <v>90.29999999999964</v>
      </c>
      <c r="BF80" s="619">
        <v>1</v>
      </c>
      <c r="BG80" s="619">
        <v>1.01</v>
      </c>
      <c r="BH80" s="623">
        <f t="shared" si="5"/>
        <v>1</v>
      </c>
      <c r="BI80" s="623">
        <f t="shared" si="5"/>
        <v>1.02</v>
      </c>
    </row>
    <row r="81" spans="4:61" ht="12.75" hidden="1">
      <c r="D81" s="656">
        <f aca="true" t="shared" si="14" ref="D81:L81">+D14</f>
        <v>0</v>
      </c>
      <c r="E81" s="656">
        <f t="shared" si="14"/>
        <v>0</v>
      </c>
      <c r="F81" s="656">
        <f t="shared" si="14"/>
        <v>0</v>
      </c>
      <c r="G81" s="656">
        <f t="shared" si="14"/>
        <v>0</v>
      </c>
      <c r="H81" s="656">
        <f t="shared" si="14"/>
        <v>0</v>
      </c>
      <c r="I81" s="656">
        <f t="shared" si="14"/>
        <v>0</v>
      </c>
      <c r="J81" s="656">
        <f t="shared" si="14"/>
        <v>0</v>
      </c>
      <c r="K81" s="656">
        <f t="shared" si="14"/>
        <v>0</v>
      </c>
      <c r="L81" s="656">
        <f t="shared" si="14"/>
        <v>0</v>
      </c>
      <c r="V81" s="185">
        <v>83.6000000000002</v>
      </c>
      <c r="W81" s="212" t="s">
        <v>160</v>
      </c>
      <c r="X81" s="212" t="s">
        <v>160</v>
      </c>
      <c r="Y81" s="212" t="s">
        <v>160</v>
      </c>
      <c r="Z81" s="212" t="s">
        <v>160</v>
      </c>
      <c r="AA81" s="212" t="s">
        <v>160</v>
      </c>
      <c r="AB81" s="237" t="s">
        <v>160</v>
      </c>
      <c r="AC81" s="179"/>
      <c r="AD81" s="185" t="s">
        <v>16</v>
      </c>
      <c r="AE81" s="179">
        <v>3.5</v>
      </c>
      <c r="AF81" s="179">
        <v>92</v>
      </c>
      <c r="AG81" s="180">
        <v>3</v>
      </c>
      <c r="AH81" s="180">
        <v>2</v>
      </c>
      <c r="AI81" s="186">
        <v>3</v>
      </c>
      <c r="AJ81" s="92" t="s">
        <v>27</v>
      </c>
      <c r="AK81" s="85">
        <f>VLOOKUP($N$10,$AD$71:$AI$82,4)</f>
        <v>3</v>
      </c>
      <c r="AL81" s="165" t="s">
        <v>58</v>
      </c>
      <c r="AM81" s="83" t="s">
        <v>59</v>
      </c>
      <c r="AN81" s="84">
        <f aca="true" t="shared" si="15" ref="AN81:AV84">D9</f>
        <v>0</v>
      </c>
      <c r="AO81" s="84">
        <f t="shared" si="15"/>
        <v>0</v>
      </c>
      <c r="AP81" s="84">
        <f t="shared" si="15"/>
        <v>0</v>
      </c>
      <c r="AQ81" s="84">
        <f t="shared" si="15"/>
        <v>0</v>
      </c>
      <c r="AR81" s="84">
        <f t="shared" si="15"/>
        <v>0</v>
      </c>
      <c r="AS81" s="84">
        <f t="shared" si="15"/>
        <v>0</v>
      </c>
      <c r="AT81" s="84">
        <f t="shared" si="15"/>
        <v>0</v>
      </c>
      <c r="AU81" s="84">
        <f t="shared" si="15"/>
        <v>0</v>
      </c>
      <c r="AV81" s="84">
        <f t="shared" si="15"/>
        <v>0</v>
      </c>
      <c r="AW81" s="92"/>
      <c r="AX81" s="213">
        <f>$AV$72+0.1</f>
        <v>0.1</v>
      </c>
      <c r="AY81" s="94"/>
      <c r="BB81" s="618">
        <v>90.39999999999964</v>
      </c>
      <c r="BC81" s="619">
        <v>1</v>
      </c>
      <c r="BD81" s="619">
        <v>1.02</v>
      </c>
      <c r="BE81" s="618">
        <v>90.39999999999964</v>
      </c>
      <c r="BF81" s="619">
        <v>1</v>
      </c>
      <c r="BG81" s="619">
        <v>1.01</v>
      </c>
      <c r="BH81" s="623">
        <f t="shared" si="5"/>
        <v>1</v>
      </c>
      <c r="BI81" s="623">
        <f t="shared" si="5"/>
        <v>1.02</v>
      </c>
    </row>
    <row r="82" spans="4:61" ht="13.5" hidden="1" thickBot="1">
      <c r="D82" s="1">
        <f aca="true" t="shared" si="16" ref="D82:L82">+IF(D14&gt;1,1,0)</f>
        <v>0</v>
      </c>
      <c r="E82" s="1">
        <f t="shared" si="16"/>
        <v>0</v>
      </c>
      <c r="F82" s="1">
        <f t="shared" si="16"/>
        <v>0</v>
      </c>
      <c r="G82" s="1">
        <f t="shared" si="16"/>
        <v>0</v>
      </c>
      <c r="H82" s="1">
        <f t="shared" si="16"/>
        <v>0</v>
      </c>
      <c r="I82" s="1">
        <f t="shared" si="16"/>
        <v>0</v>
      </c>
      <c r="J82" s="1">
        <f t="shared" si="16"/>
        <v>0</v>
      </c>
      <c r="K82" s="1">
        <f t="shared" si="16"/>
        <v>0</v>
      </c>
      <c r="L82" s="1">
        <f t="shared" si="16"/>
        <v>0</v>
      </c>
      <c r="V82" s="185">
        <v>83.70000000000019</v>
      </c>
      <c r="W82" s="212" t="s">
        <v>160</v>
      </c>
      <c r="X82" s="212" t="s">
        <v>160</v>
      </c>
      <c r="Y82" s="212" t="s">
        <v>160</v>
      </c>
      <c r="Z82" s="212" t="s">
        <v>160</v>
      </c>
      <c r="AA82" s="212" t="s">
        <v>160</v>
      </c>
      <c r="AB82" s="237" t="s">
        <v>160</v>
      </c>
      <c r="AC82" s="332"/>
      <c r="AD82" s="188" t="s">
        <v>70</v>
      </c>
      <c r="AE82" s="332">
        <v>3.5</v>
      </c>
      <c r="AF82" s="332">
        <v>91</v>
      </c>
      <c r="AG82" s="189">
        <v>4</v>
      </c>
      <c r="AH82" s="189">
        <v>1</v>
      </c>
      <c r="AI82" s="333">
        <v>3</v>
      </c>
      <c r="AJ82" s="92" t="s">
        <v>71</v>
      </c>
      <c r="AK82" s="85">
        <f>VLOOKUP($N$10,$AD$71:$AI$82,5)</f>
        <v>2</v>
      </c>
      <c r="AL82" s="165"/>
      <c r="AM82" s="83" t="s">
        <v>61</v>
      </c>
      <c r="AN82" s="84">
        <f t="shared" si="15"/>
        <v>0</v>
      </c>
      <c r="AO82" s="84">
        <f t="shared" si="15"/>
        <v>0</v>
      </c>
      <c r="AP82" s="84">
        <f t="shared" si="15"/>
        <v>0</v>
      </c>
      <c r="AQ82" s="84">
        <f t="shared" si="15"/>
        <v>0</v>
      </c>
      <c r="AR82" s="84">
        <f t="shared" si="15"/>
        <v>0</v>
      </c>
      <c r="AS82" s="84">
        <f t="shared" si="15"/>
        <v>0</v>
      </c>
      <c r="AT82" s="84">
        <f t="shared" si="15"/>
        <v>0</v>
      </c>
      <c r="AU82" s="84">
        <f t="shared" si="15"/>
        <v>0</v>
      </c>
      <c r="AV82" s="84">
        <f t="shared" si="15"/>
        <v>0</v>
      </c>
      <c r="AW82" s="92"/>
      <c r="AX82" s="87"/>
      <c r="AY82" s="87"/>
      <c r="BB82" s="618">
        <v>90.49999999999963</v>
      </c>
      <c r="BC82" s="619">
        <v>1</v>
      </c>
      <c r="BD82" s="619">
        <v>1.02</v>
      </c>
      <c r="BE82" s="618">
        <v>90.49999999999963</v>
      </c>
      <c r="BF82" s="619">
        <v>1</v>
      </c>
      <c r="BG82" s="619">
        <v>1.01</v>
      </c>
      <c r="BH82" s="623">
        <f aca="true" t="shared" si="17" ref="BH82:BI145">+IF((OR(($AK$81=3),($AK$81=2))),BC82,BF82)</f>
        <v>1</v>
      </c>
      <c r="BI82" s="623">
        <f t="shared" si="17"/>
        <v>1.02</v>
      </c>
    </row>
    <row r="83" spans="4:61" ht="12.75" hidden="1">
      <c r="D83" s="1">
        <f>+SUM(D82:L82)</f>
        <v>0</v>
      </c>
      <c r="V83" s="185">
        <v>83.80000000000018</v>
      </c>
      <c r="W83" s="212" t="s">
        <v>160</v>
      </c>
      <c r="X83" s="212" t="s">
        <v>160</v>
      </c>
      <c r="Y83" s="212" t="s">
        <v>160</v>
      </c>
      <c r="Z83" s="212" t="s">
        <v>160</v>
      </c>
      <c r="AA83" s="212" t="s">
        <v>160</v>
      </c>
      <c r="AB83" s="237" t="s">
        <v>160</v>
      </c>
      <c r="AC83" s="175"/>
      <c r="AD83" s="92"/>
      <c r="AE83" s="91"/>
      <c r="AF83" s="191" t="s">
        <v>72</v>
      </c>
      <c r="AG83" s="92"/>
      <c r="AH83" s="92"/>
      <c r="AI83" s="92"/>
      <c r="AJ83" s="92"/>
      <c r="AK83" s="85"/>
      <c r="AL83" s="168"/>
      <c r="AM83" s="83" t="s">
        <v>128</v>
      </c>
      <c r="AN83" s="84" t="e">
        <f t="shared" si="15"/>
        <v>#DIV/0!</v>
      </c>
      <c r="AO83" s="84" t="e">
        <f t="shared" si="15"/>
        <v>#DIV/0!</v>
      </c>
      <c r="AP83" s="84" t="e">
        <f t="shared" si="15"/>
        <v>#DIV/0!</v>
      </c>
      <c r="AQ83" s="84" t="e">
        <f t="shared" si="15"/>
        <v>#DIV/0!</v>
      </c>
      <c r="AR83" s="84" t="e">
        <f t="shared" si="15"/>
        <v>#DIV/0!</v>
      </c>
      <c r="AS83" s="84" t="e">
        <f t="shared" si="15"/>
        <v>#DIV/0!</v>
      </c>
      <c r="AT83" s="84" t="e">
        <f t="shared" si="15"/>
        <v>#DIV/0!</v>
      </c>
      <c r="AU83" s="84" t="e">
        <f t="shared" si="15"/>
        <v>#DIV/0!</v>
      </c>
      <c r="AV83" s="84" t="e">
        <f t="shared" si="15"/>
        <v>#DIV/0!</v>
      </c>
      <c r="AW83" s="92"/>
      <c r="AX83" s="87"/>
      <c r="AY83" s="87"/>
      <c r="BB83" s="618">
        <v>90.59999999999962</v>
      </c>
      <c r="BC83" s="619">
        <v>1</v>
      </c>
      <c r="BD83" s="619">
        <v>1.02</v>
      </c>
      <c r="BE83" s="618">
        <v>90.59999999999962</v>
      </c>
      <c r="BF83" s="619">
        <v>1</v>
      </c>
      <c r="BG83" s="619">
        <v>1.02</v>
      </c>
      <c r="BH83" s="623">
        <f t="shared" si="17"/>
        <v>1</v>
      </c>
      <c r="BI83" s="623">
        <f t="shared" si="17"/>
        <v>1.02</v>
      </c>
    </row>
    <row r="84" spans="4:61" ht="12.75" hidden="1">
      <c r="D84" s="1" t="e">
        <f>+HLOOKUP(D83,D80:L81,2,TRUE)</f>
        <v>#N/A</v>
      </c>
      <c r="V84" s="185">
        <v>83.90000000000018</v>
      </c>
      <c r="W84" s="212" t="s">
        <v>160</v>
      </c>
      <c r="X84" s="212" t="s">
        <v>160</v>
      </c>
      <c r="Y84" s="212" t="s">
        <v>160</v>
      </c>
      <c r="Z84" s="212" t="s">
        <v>160</v>
      </c>
      <c r="AA84" s="212" t="s">
        <v>160</v>
      </c>
      <c r="AB84" s="237" t="s">
        <v>160</v>
      </c>
      <c r="AC84" s="175"/>
      <c r="AD84" s="92"/>
      <c r="AE84" s="91"/>
      <c r="AF84" s="192" t="s">
        <v>73</v>
      </c>
      <c r="AG84" s="92"/>
      <c r="AH84" s="92"/>
      <c r="AI84" s="92"/>
      <c r="AJ84" s="92"/>
      <c r="AK84" s="92"/>
      <c r="AL84" s="170"/>
      <c r="AM84" s="83" t="s">
        <v>64</v>
      </c>
      <c r="AN84" s="86">
        <f t="shared" si="15"/>
        <v>0</v>
      </c>
      <c r="AO84" s="86">
        <f t="shared" si="15"/>
        <v>0</v>
      </c>
      <c r="AP84" s="86">
        <f t="shared" si="15"/>
        <v>0</v>
      </c>
      <c r="AQ84" s="86">
        <f t="shared" si="15"/>
        <v>0</v>
      </c>
      <c r="AR84" s="86">
        <f t="shared" si="15"/>
        <v>0</v>
      </c>
      <c r="AS84" s="86">
        <f t="shared" si="15"/>
        <v>0</v>
      </c>
      <c r="AT84" s="86">
        <f t="shared" si="15"/>
        <v>0</v>
      </c>
      <c r="AU84" s="86">
        <f t="shared" si="15"/>
        <v>0</v>
      </c>
      <c r="AV84" s="86">
        <f t="shared" si="15"/>
        <v>0</v>
      </c>
      <c r="AW84" s="92"/>
      <c r="AX84" s="87"/>
      <c r="AY84" s="87"/>
      <c r="BB84" s="618">
        <v>90.69999999999962</v>
      </c>
      <c r="BC84" s="619">
        <v>1</v>
      </c>
      <c r="BD84" s="619">
        <v>1.02</v>
      </c>
      <c r="BE84" s="618">
        <v>90.69999999999962</v>
      </c>
      <c r="BF84" s="619">
        <v>1</v>
      </c>
      <c r="BG84" s="619">
        <v>1.02</v>
      </c>
      <c r="BH84" s="623">
        <f t="shared" si="17"/>
        <v>1</v>
      </c>
      <c r="BI84" s="623">
        <f t="shared" si="17"/>
        <v>1.02</v>
      </c>
    </row>
    <row r="85" spans="22:61" ht="12.75" hidden="1">
      <c r="V85" s="185">
        <v>84.00000000000017</v>
      </c>
      <c r="W85" s="212" t="s">
        <v>160</v>
      </c>
      <c r="X85" s="212" t="s">
        <v>160</v>
      </c>
      <c r="Y85" s="212" t="s">
        <v>160</v>
      </c>
      <c r="Z85" s="212" t="s">
        <v>160</v>
      </c>
      <c r="AA85" s="212" t="s">
        <v>160</v>
      </c>
      <c r="AB85" s="237" t="s">
        <v>160</v>
      </c>
      <c r="AC85" s="92"/>
      <c r="AD85" s="306" t="s">
        <v>3</v>
      </c>
      <c r="AE85" s="193"/>
      <c r="AF85" s="92"/>
      <c r="AG85" s="92"/>
      <c r="AH85" s="92"/>
      <c r="AI85" s="92"/>
      <c r="AJ85" s="92"/>
      <c r="AK85" s="92"/>
      <c r="AL85" s="175"/>
      <c r="AM85" s="175"/>
      <c r="AN85" s="175"/>
      <c r="AO85" s="175"/>
      <c r="AP85" s="175"/>
      <c r="AQ85" s="175"/>
      <c r="AR85" s="175"/>
      <c r="AS85" s="85"/>
      <c r="AT85" s="91"/>
      <c r="AU85" s="91"/>
      <c r="AV85" s="92"/>
      <c r="AW85" s="92"/>
      <c r="AX85" s="87"/>
      <c r="AY85" s="93">
        <f>AV72</f>
        <v>0</v>
      </c>
      <c r="BB85" s="618">
        <v>90.79999999999961</v>
      </c>
      <c r="BC85" s="619">
        <v>1</v>
      </c>
      <c r="BD85" s="619">
        <v>1.02</v>
      </c>
      <c r="BE85" s="618">
        <v>90.79999999999961</v>
      </c>
      <c r="BF85" s="619">
        <v>1</v>
      </c>
      <c r="BG85" s="619">
        <v>1.02</v>
      </c>
      <c r="BH85" s="623">
        <f t="shared" si="17"/>
        <v>1</v>
      </c>
      <c r="BI85" s="623">
        <f t="shared" si="17"/>
        <v>1.02</v>
      </c>
    </row>
    <row r="86" spans="22:61" ht="13.5" hidden="1" thickBot="1">
      <c r="V86" s="185">
        <v>84.10000000000016</v>
      </c>
      <c r="W86" s="212" t="s">
        <v>160</v>
      </c>
      <c r="X86" s="212" t="s">
        <v>160</v>
      </c>
      <c r="Y86" s="212" t="s">
        <v>160</v>
      </c>
      <c r="Z86" s="212" t="s">
        <v>160</v>
      </c>
      <c r="AA86" s="212" t="s">
        <v>160</v>
      </c>
      <c r="AB86" s="237" t="s">
        <v>160</v>
      </c>
      <c r="AC86" s="92"/>
      <c r="AD86" s="307" t="s">
        <v>136</v>
      </c>
      <c r="AE86" s="85"/>
      <c r="AF86" s="85"/>
      <c r="AG86" s="92"/>
      <c r="AH86" s="92"/>
      <c r="AI86" s="92" t="s">
        <v>127</v>
      </c>
      <c r="AJ86" s="92"/>
      <c r="AK86" s="92"/>
      <c r="AL86" s="87"/>
      <c r="AM86" s="175"/>
      <c r="AN86" s="87"/>
      <c r="AO86" s="87"/>
      <c r="AP86" s="85" t="s">
        <v>74</v>
      </c>
      <c r="AQ86" s="85" t="s">
        <v>27</v>
      </c>
      <c r="AR86" s="85" t="s">
        <v>19</v>
      </c>
      <c r="AS86" s="85" t="s">
        <v>20</v>
      </c>
      <c r="AT86" s="85" t="s">
        <v>30</v>
      </c>
      <c r="AU86" s="89" t="s">
        <v>75</v>
      </c>
      <c r="AV86" s="92"/>
      <c r="AW86" s="92"/>
      <c r="AX86" s="92" t="s">
        <v>356</v>
      </c>
      <c r="AY86" s="91">
        <f>AV72</f>
        <v>0</v>
      </c>
      <c r="BB86" s="618">
        <v>90.89999999999961</v>
      </c>
      <c r="BC86" s="619">
        <v>1</v>
      </c>
      <c r="BD86" s="619">
        <v>1.02</v>
      </c>
      <c r="BE86" s="618">
        <v>90.89999999999961</v>
      </c>
      <c r="BF86" s="619">
        <v>1</v>
      </c>
      <c r="BG86" s="619">
        <v>1.02</v>
      </c>
      <c r="BH86" s="623">
        <f t="shared" si="17"/>
        <v>1</v>
      </c>
      <c r="BI86" s="623">
        <f t="shared" si="17"/>
        <v>1.02</v>
      </c>
    </row>
    <row r="87" spans="22:61" ht="13.5" hidden="1" thickBot="1">
      <c r="V87" s="185">
        <v>84.20000000000016</v>
      </c>
      <c r="W87" s="212" t="s">
        <v>160</v>
      </c>
      <c r="X87" s="212" t="s">
        <v>160</v>
      </c>
      <c r="Y87" s="212" t="s">
        <v>160</v>
      </c>
      <c r="Z87" s="212" t="s">
        <v>160</v>
      </c>
      <c r="AA87" s="212" t="s">
        <v>160</v>
      </c>
      <c r="AB87" s="237" t="s">
        <v>160</v>
      </c>
      <c r="AC87" s="92"/>
      <c r="AD87" s="92"/>
      <c r="AE87" s="175"/>
      <c r="AF87" s="175"/>
      <c r="AG87" s="175"/>
      <c r="AH87" s="175"/>
      <c r="AI87" s="227">
        <v>1</v>
      </c>
      <c r="AJ87" s="251" t="e">
        <f>IF(AR87&gt;=2.5,AP87*$AS$87,IF(AP87&lt;0,AP87*$AS87,0))</f>
        <v>#DIV/0!</v>
      </c>
      <c r="AK87" s="251" t="e">
        <f>IF(AR88&gt;=2.5,AP88*$AS$88,IF(AP88&lt;0,AP88*AS88,0))</f>
        <v>#DIV/0!</v>
      </c>
      <c r="AL87" s="251" t="e">
        <f>IF(AR89&gt;=2.5,AP89*$AS$89,IF(AP89&lt;0,AP89*AS89,0))</f>
        <v>#DIV/0!</v>
      </c>
      <c r="AM87" s="251" t="e">
        <f>IF(AR90&gt;=2.5,AP90*$AS$90,IF(AP90&lt;0,AP90*AS90,0))</f>
        <v>#N/A</v>
      </c>
      <c r="AN87" s="228" t="e">
        <f>IF($AK$81=3,VLOOKUP($AQ$87,$V$72:$AB$222,3),IF($AK$81=4,VLOOKUP($AQ$87,$V$72:$AB$222,4),IF($AK$81=6,VLOOKUP($AQ$87,$V$72:$AB222,6),IF($AK$81=7,VLOOKUP($AQ$87,$V$72:$AB$222,7,999)))))</f>
        <v>#N/A</v>
      </c>
      <c r="AO87" s="252" t="e">
        <f>IF(OR(K19&gt;(K21+0.03),K19&lt;(K21-0.03)),K21,K19)</f>
        <v>#VALUE!</v>
      </c>
      <c r="AP87" s="253" t="e">
        <f aca="true" t="shared" si="18" ref="AP87:AP110">IF(AT87="SEE SPEC.","0",(((1+AT87)*(AX87))-1)*($AT$76))</f>
        <v>#N/A</v>
      </c>
      <c r="AQ87" s="254">
        <f>M19</f>
      </c>
      <c r="AR87" s="228" t="e">
        <f aca="true" t="shared" si="19" ref="AR87:AR110">IF(AS87="","",IF($L$69="no",VLOOKUP(AY87-0.1,$AX$72:$AY$81,2),$J$71))</f>
        <v>#DIV/0!</v>
      </c>
      <c r="AS87" s="228" t="e">
        <f>AE172</f>
        <v>#DIV/0!</v>
      </c>
      <c r="AT87" s="228" t="e">
        <f>IF($AN$87="SEE SPEC.","SEE SPEC.",IF(AND($AK$82=1,$AN$87&gt;=0),0,$AN$87))</f>
        <v>#N/A</v>
      </c>
      <c r="AU87" s="251" t="e">
        <f>IF(AND($AK$82=1,AW87&gt;0),0,AW87)</f>
        <v>#N/A</v>
      </c>
      <c r="AV87" s="228" t="e">
        <f aca="true" t="shared" si="20" ref="AV87:AV110">IF(AND(AR87&lt;$AV$75,AND(AT87&lt;&gt;"SEE SPEC.",NOT(AP87&lt;0))),"low voids",AT87)</f>
        <v>#DIV/0!</v>
      </c>
      <c r="AW87" s="251" t="e">
        <f>IF(AT87="SEE SPEC.","SEE SPEC.",IF($AK$80=3,AJ89,IF($AK$80=2,AJ88,IF($AK$80=1,AJ87))))</f>
        <v>#N/A</v>
      </c>
      <c r="AX87" s="231" t="e">
        <f>E94*F94</f>
        <v>#N/A</v>
      </c>
      <c r="AY87" s="91" t="e">
        <f>AS87</f>
        <v>#DIV/0!</v>
      </c>
      <c r="BB87" s="618">
        <v>90.9999999999996</v>
      </c>
      <c r="BC87" s="619">
        <v>1</v>
      </c>
      <c r="BD87" s="619">
        <v>1.02</v>
      </c>
      <c r="BE87" s="618">
        <v>90.9999999999996</v>
      </c>
      <c r="BF87" s="619">
        <v>1</v>
      </c>
      <c r="BG87" s="619">
        <v>1.02</v>
      </c>
      <c r="BH87" s="623">
        <f t="shared" si="17"/>
        <v>1</v>
      </c>
      <c r="BI87" s="623">
        <f t="shared" si="17"/>
        <v>1.02</v>
      </c>
    </row>
    <row r="88" spans="4:61" ht="13.5" hidden="1" thickBot="1">
      <c r="D88" s="698" t="s">
        <v>374</v>
      </c>
      <c r="V88" s="185">
        <v>84.30000000000015</v>
      </c>
      <c r="W88" s="212" t="s">
        <v>160</v>
      </c>
      <c r="X88" s="212" t="s">
        <v>160</v>
      </c>
      <c r="Y88" s="212" t="s">
        <v>160</v>
      </c>
      <c r="Z88" s="212" t="s">
        <v>160</v>
      </c>
      <c r="AA88" s="212" t="s">
        <v>160</v>
      </c>
      <c r="AB88" s="237" t="s">
        <v>160</v>
      </c>
      <c r="AC88" s="92"/>
      <c r="AD88" s="92"/>
      <c r="AE88" s="92"/>
      <c r="AF88" s="175"/>
      <c r="AG88" s="175"/>
      <c r="AH88" s="175"/>
      <c r="AI88" s="230"/>
      <c r="AJ88" s="225" t="e">
        <f>IF(AR87&gt;=3,AP87*$AS$87,IF(AP87&lt;0,AP87*AS87,0))</f>
        <v>#DIV/0!</v>
      </c>
      <c r="AK88" s="225" t="e">
        <f>IF(AR88&gt;=3,AP88*$AS$88,IF(AP88&lt;0,AP88*AS88,0))</f>
        <v>#DIV/0!</v>
      </c>
      <c r="AL88" s="225" t="e">
        <f>IF(AR89&gt;=3,AP89*$AS$89,IF(AP89&lt;0,AP89*AS89,0))</f>
        <v>#DIV/0!</v>
      </c>
      <c r="AM88" s="225" t="e">
        <f>IF(AR90&gt;=3,AP90*$AS$90,IF(AP90&lt;0,AP90*AS90,0))</f>
        <v>#N/A</v>
      </c>
      <c r="AN88" s="228" t="e">
        <f>IF($AK$81=3,VLOOKUP($AQ$87,$V$72:$AB$222,3),IF($AK$81=4,VLOOKUP($AQ$87,$V$72:$AB$222,4),IF($AK$81=6,VLOOKUP($AQ$87,$V$72:$AB223,6),IF($AK$81=7,VLOOKUP($AQ$87,$V$72:$AB$222,7,999)))))</f>
        <v>#N/A</v>
      </c>
      <c r="AO88" s="256" t="e">
        <f>IF(OR(K20&gt;(K21+0.03),K20&lt;(K21-0.03)),K21,K20)</f>
        <v>#VALUE!</v>
      </c>
      <c r="AP88" s="253" t="e">
        <f t="shared" si="18"/>
        <v>#N/A</v>
      </c>
      <c r="AQ88" s="258"/>
      <c r="AR88" s="223" t="e">
        <f t="shared" si="19"/>
        <v>#DIV/0!</v>
      </c>
      <c r="AS88" s="223" t="e">
        <f>AE173</f>
        <v>#DIV/0!</v>
      </c>
      <c r="AT88" s="223" t="e">
        <f>IF($AN$87="SEE SPEC.","SEE SPEC.",IF(AND($AK$82=1,$AN$87&gt;=0),0,$AN$87))</f>
        <v>#N/A</v>
      </c>
      <c r="AU88" s="225" t="e">
        <f aca="true" t="shared" si="21" ref="AU88:AU110">IF(AND($AK$82=1,AW88&gt;0),0,AW88)</f>
        <v>#N/A</v>
      </c>
      <c r="AV88" s="223" t="e">
        <f t="shared" si="20"/>
        <v>#DIV/0!</v>
      </c>
      <c r="AW88" s="225" t="e">
        <f>IF(AT88="SEE SPEC.","SEE SPEC.",IF($AK$80=3,AK89,IF($AK$80=2,AK88,IF($AK$80=1,AK87))))</f>
        <v>#N/A</v>
      </c>
      <c r="AX88" s="231" t="e">
        <f>E95*F95</f>
        <v>#N/A</v>
      </c>
      <c r="AY88" s="91" t="e">
        <f>SUM($AS$87:AS88)</f>
        <v>#DIV/0!</v>
      </c>
      <c r="BB88" s="618">
        <v>91.0999999999996</v>
      </c>
      <c r="BC88" s="619">
        <v>1.01</v>
      </c>
      <c r="BD88" s="619">
        <v>1.02</v>
      </c>
      <c r="BE88" s="618">
        <v>91.0999999999996</v>
      </c>
      <c r="BF88" s="619">
        <v>1</v>
      </c>
      <c r="BG88" s="619">
        <v>1.02</v>
      </c>
      <c r="BH88" s="623">
        <f t="shared" si="17"/>
        <v>1.01</v>
      </c>
      <c r="BI88" s="623">
        <f t="shared" si="17"/>
        <v>1.02</v>
      </c>
    </row>
    <row r="89" spans="5:61" ht="13.5" hidden="1" thickBot="1">
      <c r="E89" s="1" t="s">
        <v>365</v>
      </c>
      <c r="F89" s="1" t="s">
        <v>365</v>
      </c>
      <c r="G89" s="1" t="s">
        <v>364</v>
      </c>
      <c r="V89" s="185">
        <v>84.40000000000015</v>
      </c>
      <c r="W89" s="212" t="s">
        <v>160</v>
      </c>
      <c r="X89" s="212" t="s">
        <v>160</v>
      </c>
      <c r="Y89" s="212" t="s">
        <v>160</v>
      </c>
      <c r="Z89" s="212" t="s">
        <v>160</v>
      </c>
      <c r="AA89" s="212" t="s">
        <v>160</v>
      </c>
      <c r="AB89" s="237" t="s">
        <v>160</v>
      </c>
      <c r="AC89" s="92"/>
      <c r="AD89" s="194" t="s">
        <v>76</v>
      </c>
      <c r="AE89" s="195">
        <v>2</v>
      </c>
      <c r="AF89" s="175"/>
      <c r="AG89" s="196" t="s">
        <v>125</v>
      </c>
      <c r="AH89" s="175"/>
      <c r="AI89" s="230"/>
      <c r="AJ89" s="225" t="e">
        <f>IF(AR87&gt;=3.5,AP87*$AS$87,IF(AP87&lt;0,AP87*AS87,0))</f>
        <v>#DIV/0!</v>
      </c>
      <c r="AK89" s="225" t="e">
        <f>IF(AR88&gt;=3.5,AP88*$AS$88,IF(AP88&lt;0,AP88*AS88,0))</f>
        <v>#DIV/0!</v>
      </c>
      <c r="AL89" s="225" t="e">
        <f>IF(AR89&gt;=3.5,AP89*$AS89,IF(AP89&lt;0,AP89*AS89,0))</f>
        <v>#DIV/0!</v>
      </c>
      <c r="AM89" s="225" t="e">
        <f>IF(AR90&gt;=3.5,AP90*$AS90,IF(AP90&lt;0,AP90*AS90,0))</f>
        <v>#N/A</v>
      </c>
      <c r="AN89" s="228" t="e">
        <f>IF($AK$81=3,VLOOKUP($AQ$87,$V$72:$AB$222,3),IF($AK$81=4,VLOOKUP($AQ$87,$V$72:$AB$222,4),IF($AK$81=6,VLOOKUP($AQ$87,$V$72:$AB224,6),IF($AK$81=7,VLOOKUP($AQ$87,$V$72:$AB$222,7,999)))))</f>
        <v>#N/A</v>
      </c>
      <c r="AO89" s="256"/>
      <c r="AP89" s="253" t="e">
        <f t="shared" si="18"/>
        <v>#N/A</v>
      </c>
      <c r="AQ89" s="258"/>
      <c r="AR89" s="223" t="e">
        <f t="shared" si="19"/>
        <v>#DIV/0!</v>
      </c>
      <c r="AS89" s="223" t="e">
        <f>AE174</f>
        <v>#DIV/0!</v>
      </c>
      <c r="AT89" s="223" t="e">
        <f>IF($AN$87="SEE SPEC.","SEE SPEC.",IF(AND($AK$82=1,$AN$87&gt;=0),0,$AN$87))</f>
        <v>#N/A</v>
      </c>
      <c r="AU89" s="225" t="e">
        <f t="shared" si="21"/>
        <v>#N/A</v>
      </c>
      <c r="AV89" s="223" t="e">
        <f t="shared" si="20"/>
        <v>#DIV/0!</v>
      </c>
      <c r="AW89" s="225" t="e">
        <f>IF(AT89="SEE SPEC.","SEE SPEC.",IF($AK$80=3,AL89,IF($AK$80=2,AL88,IF($AK$80=1,AL87))))</f>
        <v>#N/A</v>
      </c>
      <c r="AX89" s="231" t="e">
        <f>$AX$88</f>
        <v>#N/A</v>
      </c>
      <c r="AY89" s="91" t="e">
        <f>SUM($AS$87:AS89)</f>
        <v>#DIV/0!</v>
      </c>
      <c r="BB89" s="618">
        <v>91.19999999999959</v>
      </c>
      <c r="BC89" s="619">
        <v>1.01</v>
      </c>
      <c r="BD89" s="619">
        <v>1.02</v>
      </c>
      <c r="BE89" s="618">
        <v>91.19999999999959</v>
      </c>
      <c r="BF89" s="619">
        <v>1</v>
      </c>
      <c r="BG89" s="619">
        <v>1.02</v>
      </c>
      <c r="BH89" s="623">
        <f t="shared" si="17"/>
        <v>1.01</v>
      </c>
      <c r="BI89" s="623">
        <f aca="true" t="shared" si="22" ref="BI89:BI145">+IF((OR(($AK$81=3),($AK$81=2))),BD89,BG89)</f>
        <v>1.02</v>
      </c>
    </row>
    <row r="90" spans="4:61" ht="13.5" hidden="1" thickBot="1">
      <c r="D90" s="1" t="s">
        <v>362</v>
      </c>
      <c r="E90" s="1" t="s">
        <v>358</v>
      </c>
      <c r="F90" s="1" t="s">
        <v>358</v>
      </c>
      <c r="G90" s="1" t="s">
        <v>358</v>
      </c>
      <c r="V90" s="185">
        <v>84.50000000000014</v>
      </c>
      <c r="W90" s="212" t="s">
        <v>160</v>
      </c>
      <c r="X90" s="212" t="s">
        <v>160</v>
      </c>
      <c r="Y90" s="212" t="s">
        <v>160</v>
      </c>
      <c r="Z90" s="212" t="s">
        <v>160</v>
      </c>
      <c r="AA90" s="212" t="s">
        <v>160</v>
      </c>
      <c r="AB90" s="237" t="s">
        <v>160</v>
      </c>
      <c r="AC90" s="92"/>
      <c r="AD90" s="74" t="s">
        <v>77</v>
      </c>
      <c r="AE90" s="178">
        <v>1</v>
      </c>
      <c r="AF90" s="175"/>
      <c r="AG90" s="92">
        <f>VLOOKUP(N12,AD89:AE90,2)</f>
        <v>2</v>
      </c>
      <c r="AH90" s="175"/>
      <c r="AI90" s="259"/>
      <c r="AJ90" s="260"/>
      <c r="AK90" s="260"/>
      <c r="AL90" s="260"/>
      <c r="AM90" s="260"/>
      <c r="AN90" s="233"/>
      <c r="AO90" s="261"/>
      <c r="AP90" s="253" t="e">
        <f t="shared" si="18"/>
        <v>#N/A</v>
      </c>
      <c r="AQ90" s="263"/>
      <c r="AR90" s="233" t="e">
        <f t="shared" si="19"/>
        <v>#N/A</v>
      </c>
      <c r="AS90" s="233" t="e">
        <f>AE160</f>
        <v>#N/A</v>
      </c>
      <c r="AT90" s="233" t="e">
        <f>IF($AN$87="SEE SPEC.","SEE SPEC.",IF(AND($AK$82=1,$AN$87&gt;=0),0,$AN$87))</f>
        <v>#N/A</v>
      </c>
      <c r="AU90" s="260" t="e">
        <f t="shared" si="21"/>
        <v>#N/A</v>
      </c>
      <c r="AV90" s="233" t="e">
        <f t="shared" si="20"/>
        <v>#N/A</v>
      </c>
      <c r="AW90" s="260" t="e">
        <f>IF(AT90="SEE SPEC.","SEE SPEC.",IF($AK$80=3,AM89,IF($AK$80=2,AM88,IF($AK$80=1,AM87))))</f>
        <v>#N/A</v>
      </c>
      <c r="AX90" s="231" t="e">
        <f>$AX$88</f>
        <v>#N/A</v>
      </c>
      <c r="AY90" s="91" t="e">
        <f>SUM($AS$87:AS90)</f>
        <v>#DIV/0!</v>
      </c>
      <c r="BB90" s="618">
        <v>91.29999999999959</v>
      </c>
      <c r="BC90" s="619">
        <v>1.01</v>
      </c>
      <c r="BD90" s="619">
        <v>1.02</v>
      </c>
      <c r="BE90" s="618">
        <v>91.29999999999959</v>
      </c>
      <c r="BF90" s="619">
        <v>1</v>
      </c>
      <c r="BG90" s="619">
        <v>1.02</v>
      </c>
      <c r="BH90" s="623">
        <f t="shared" si="17"/>
        <v>1.01</v>
      </c>
      <c r="BI90" s="623">
        <f t="shared" si="22"/>
        <v>1.02</v>
      </c>
    </row>
    <row r="91" spans="4:61" ht="13.5" hidden="1" thickBot="1">
      <c r="D91" s="1" t="s">
        <v>363</v>
      </c>
      <c r="E91" s="1" t="s">
        <v>359</v>
      </c>
      <c r="F91" s="1" t="s">
        <v>359</v>
      </c>
      <c r="G91" s="1" t="s">
        <v>359</v>
      </c>
      <c r="V91" s="185">
        <v>84.60000000000014</v>
      </c>
      <c r="W91" s="212" t="s">
        <v>160</v>
      </c>
      <c r="X91" s="212" t="s">
        <v>160</v>
      </c>
      <c r="Y91" s="212" t="s">
        <v>160</v>
      </c>
      <c r="Z91" s="212" t="s">
        <v>160</v>
      </c>
      <c r="AA91" s="212" t="s">
        <v>160</v>
      </c>
      <c r="AB91" s="237" t="s">
        <v>160</v>
      </c>
      <c r="AC91" s="92"/>
      <c r="AD91" s="92"/>
      <c r="AE91" s="92"/>
      <c r="AF91" s="175"/>
      <c r="AG91" s="175"/>
      <c r="AH91" s="175"/>
      <c r="AI91" s="227">
        <v>2</v>
      </c>
      <c r="AJ91" s="251" t="e">
        <f>IF(AR91&gt;=2.5,AP91*AS91,IF(AP91&lt;0,AP91*AS91,0))</f>
        <v>#DIV/0!</v>
      </c>
      <c r="AK91" s="251" t="e">
        <f>IF(AR92&gt;=2.5,AP92*AS92,IF(AP92&lt;0,AP92*AS92,0))</f>
        <v>#DIV/0!</v>
      </c>
      <c r="AL91" s="251" t="e">
        <f>IF(AR93&gt;=2.5,AP93*AS93,IF(AP93&lt;0,AP93*AS93,0))</f>
        <v>#DIV/0!</v>
      </c>
      <c r="AM91" s="251" t="e">
        <f>IF(AR94&gt;=2.5,AP94*AS94,IF(AP94&lt;0,AP94*AS94,0))</f>
        <v>#DIV/0!</v>
      </c>
      <c r="AN91" s="228" t="e">
        <f>IF($AK$81=3,VLOOKUP($AQ$91,$V$72:$AB$222,3),IF($AK$81=4,VLOOKUP($AQ$91,$V$72:$AB$222,4),IF($AK$81=6,VLOOKUP($AQ$91,$V$72:$AB226,6),IF($AK$81=7,VLOOKUP($AQ$91,$V$72:$AB$222,7,999)))))</f>
        <v>#N/A</v>
      </c>
      <c r="AO91" s="252" t="e">
        <f>IF(OR(K23&gt;(K25+0.03),K23&lt;(K25-0.03)),K25,K23)</f>
        <v>#N/A</v>
      </c>
      <c r="AP91" s="253" t="e">
        <f t="shared" si="18"/>
        <v>#N/A</v>
      </c>
      <c r="AQ91" s="254" t="e">
        <f>M23</f>
        <v>#N/A</v>
      </c>
      <c r="AR91" s="228" t="e">
        <f t="shared" si="19"/>
        <v>#DIV/0!</v>
      </c>
      <c r="AS91" s="228" t="e">
        <f>AF172</f>
        <v>#DIV/0!</v>
      </c>
      <c r="AT91" s="228" t="e">
        <f>IF($AN$91="SEE SPEC.","SEE SPEC.",IF(AND($AK$82=1,$AN$91&gt;=0),0,$AN$91))</f>
        <v>#N/A</v>
      </c>
      <c r="AU91" s="251" t="e">
        <f t="shared" si="21"/>
        <v>#N/A</v>
      </c>
      <c r="AV91" s="228" t="e">
        <f t="shared" si="20"/>
        <v>#DIV/0!</v>
      </c>
      <c r="AW91" s="251" t="e">
        <f>IF(AT91="SEE SPEC.","SEE SPEC.",IF($AK$80=3,AJ93,IF($AK$80=2,AJ92,IF($AK$80=1,AJ91))))</f>
        <v>#N/A</v>
      </c>
      <c r="AX91" s="231" t="e">
        <f>E98*F98</f>
        <v>#N/A</v>
      </c>
      <c r="AY91" s="91" t="e">
        <f>SUM($AS$87:AS91)</f>
        <v>#DIV/0!</v>
      </c>
      <c r="BB91" s="618">
        <v>91.39999999999958</v>
      </c>
      <c r="BC91" s="619">
        <v>1.01</v>
      </c>
      <c r="BD91" s="619">
        <v>1.02</v>
      </c>
      <c r="BE91" s="618">
        <v>91.39999999999958</v>
      </c>
      <c r="BF91" s="619">
        <v>1</v>
      </c>
      <c r="BG91" s="619">
        <v>1.02</v>
      </c>
      <c r="BH91" s="623">
        <f t="shared" si="17"/>
        <v>1.01</v>
      </c>
      <c r="BI91" s="623">
        <f t="shared" si="22"/>
        <v>1.02</v>
      </c>
    </row>
    <row r="92" spans="4:61" ht="13.5" hidden="1" thickBot="1">
      <c r="D92" s="1" t="s">
        <v>358</v>
      </c>
      <c r="E92" s="1" t="s">
        <v>366</v>
      </c>
      <c r="F92" s="1" t="s">
        <v>367</v>
      </c>
      <c r="V92" s="185">
        <v>84.70000000000013</v>
      </c>
      <c r="W92" s="212" t="s">
        <v>160</v>
      </c>
      <c r="X92" s="212" t="s">
        <v>160</v>
      </c>
      <c r="Y92" s="212" t="s">
        <v>160</v>
      </c>
      <c r="Z92" s="212" t="s">
        <v>160</v>
      </c>
      <c r="AA92" s="212" t="s">
        <v>160</v>
      </c>
      <c r="AB92" s="237" t="s">
        <v>160</v>
      </c>
      <c r="AC92" s="92"/>
      <c r="AD92" s="92"/>
      <c r="AE92" s="92"/>
      <c r="AF92" s="175"/>
      <c r="AG92" s="175"/>
      <c r="AH92" s="175"/>
      <c r="AI92" s="230"/>
      <c r="AJ92" s="225" t="e">
        <f>IF(AR91&gt;=3,AP91*AS91,IF(AP91&lt;0,AP91*AS91,0))</f>
        <v>#DIV/0!</v>
      </c>
      <c r="AK92" s="225" t="e">
        <f>IF(AR92&gt;=3,AP92*AS92,IF(AP92&lt;0,AP92*AS92,0))</f>
        <v>#DIV/0!</v>
      </c>
      <c r="AL92" s="225" t="e">
        <f>IF(AR93&gt;=3,AP93*AS93,IF(AP93&lt;0,AP93*AS93,0))</f>
        <v>#DIV/0!</v>
      </c>
      <c r="AM92" s="225" t="e">
        <f>IF(AR94&gt;=3,AP94*AS94,IF(AP94&lt;0,AP94*AS94,0))</f>
        <v>#DIV/0!</v>
      </c>
      <c r="AN92" s="228" t="e">
        <f>IF($AK$81=3,VLOOKUP($AQ$91,$V$72:$AB$222,3),IF($AK$81=4,VLOOKUP($AQ$91,$V$72:$AB$222,4),IF($AK$81=6,VLOOKUP($AQ$91,$V$72:$AB227,6),IF($AK$81=7,VLOOKUP($AQ$91,$V$72:$AB$222,7,999)))))</f>
        <v>#N/A</v>
      </c>
      <c r="AO92" s="256" t="e">
        <f>IF(OR(K24&gt;(K25+0.03),K24&lt;(K25-0.03)),K25,K24)</f>
        <v>#N/A</v>
      </c>
      <c r="AP92" s="253" t="e">
        <f t="shared" si="18"/>
        <v>#N/A</v>
      </c>
      <c r="AQ92" s="258"/>
      <c r="AR92" s="223" t="e">
        <f t="shared" si="19"/>
        <v>#DIV/0!</v>
      </c>
      <c r="AS92" s="223" t="e">
        <f>AF173</f>
        <v>#DIV/0!</v>
      </c>
      <c r="AT92" s="223" t="e">
        <f>IF($AN$91="SEE SPEC.","SEE SPEC.",IF(AND($AK$82=1,$AN$91&gt;=0),0,$AN$91))</f>
        <v>#N/A</v>
      </c>
      <c r="AU92" s="225" t="e">
        <f t="shared" si="21"/>
        <v>#N/A</v>
      </c>
      <c r="AV92" s="223" t="e">
        <f t="shared" si="20"/>
        <v>#DIV/0!</v>
      </c>
      <c r="AW92" s="225" t="e">
        <f>IF(AT92="SEE SPEC.","SEE SPEC.",IF($AK$80=3,AK93,IF($AK$80=2,AK92,IF($AK$80=1,AK91))))</f>
        <v>#N/A</v>
      </c>
      <c r="AX92" s="231" t="e">
        <f>E99*F99</f>
        <v>#N/A</v>
      </c>
      <c r="AY92" s="91" t="e">
        <f>SUM($AS$87:AS92)</f>
        <v>#DIV/0!</v>
      </c>
      <c r="BB92" s="618">
        <v>91.49999999999957</v>
      </c>
      <c r="BC92" s="619">
        <v>1.01</v>
      </c>
      <c r="BD92" s="619">
        <v>1.02</v>
      </c>
      <c r="BE92" s="618">
        <v>91.49999999999957</v>
      </c>
      <c r="BF92" s="619">
        <v>1</v>
      </c>
      <c r="BG92" s="619">
        <v>1.02</v>
      </c>
      <c r="BH92" s="623">
        <f t="shared" si="17"/>
        <v>1.01</v>
      </c>
      <c r="BI92" s="623">
        <f t="shared" si="22"/>
        <v>1.02</v>
      </c>
    </row>
    <row r="93" spans="2:61" ht="13.5" hidden="1" thickBot="1">
      <c r="B93" s="1" t="s">
        <v>368</v>
      </c>
      <c r="C93" s="1" t="s">
        <v>361</v>
      </c>
      <c r="D93" s="1" t="s">
        <v>359</v>
      </c>
      <c r="E93" s="1" t="s">
        <v>269</v>
      </c>
      <c r="F93" s="1" t="s">
        <v>269</v>
      </c>
      <c r="V93" s="185">
        <v>84.80000000000013</v>
      </c>
      <c r="W93" s="212" t="s">
        <v>160</v>
      </c>
      <c r="X93" s="212" t="s">
        <v>160</v>
      </c>
      <c r="Y93" s="212" t="s">
        <v>160</v>
      </c>
      <c r="Z93" s="212" t="s">
        <v>160</v>
      </c>
      <c r="AA93" s="212" t="s">
        <v>160</v>
      </c>
      <c r="AB93" s="237" t="s">
        <v>160</v>
      </c>
      <c r="AC93" s="92"/>
      <c r="AD93" s="182" t="s">
        <v>78</v>
      </c>
      <c r="AE93" s="183" t="s">
        <v>79</v>
      </c>
      <c r="AF93" s="183" t="s">
        <v>3</v>
      </c>
      <c r="AG93" s="184"/>
      <c r="AH93" s="175"/>
      <c r="AI93" s="230"/>
      <c r="AJ93" s="225" t="e">
        <f>IF(AR91&gt;=3.5,AP91*AS91,IF(AP91&lt;0,AP91*AS91,0))</f>
        <v>#DIV/0!</v>
      </c>
      <c r="AK93" s="225" t="e">
        <f>IF(AR92&gt;=3.5,AP92*AS92,IF(AP92&lt;0,AP92*AS92,0))</f>
        <v>#DIV/0!</v>
      </c>
      <c r="AL93" s="225" t="e">
        <f>IF(AR93&gt;=3.5,AP93*AS93,IF(AP93&lt;0,AP93*AS93,0))</f>
        <v>#DIV/0!</v>
      </c>
      <c r="AM93" s="225" t="e">
        <f>IF(AR94&gt;=3.5,AP94*AS94,IF(AP94&lt;0,AP94*AS94,0))</f>
        <v>#DIV/0!</v>
      </c>
      <c r="AN93" s="228" t="e">
        <f>IF($AK$81=3,VLOOKUP($AQ$91,$V$72:$AB$222,3),IF($AK$81=4,VLOOKUP($AQ$91,$V$72:$AB$222,4),IF($AK$81=6,VLOOKUP($AQ$91,$V$72:$AB228,6),IF($AK$81=7,VLOOKUP($AQ$91,$V$72:$AB$222,7,999)))))</f>
        <v>#N/A</v>
      </c>
      <c r="AO93" s="256"/>
      <c r="AP93" s="253" t="e">
        <f t="shared" si="18"/>
        <v>#N/A</v>
      </c>
      <c r="AQ93" s="258"/>
      <c r="AR93" s="223" t="e">
        <f t="shared" si="19"/>
        <v>#DIV/0!</v>
      </c>
      <c r="AS93" s="223" t="e">
        <f>AF174</f>
        <v>#DIV/0!</v>
      </c>
      <c r="AT93" s="223" t="e">
        <f>IF($AN$91="SEE SPEC.","SEE SPEC.",IF(AND($AK$82=1,$AN$91&gt;=0),0,$AN$91))</f>
        <v>#N/A</v>
      </c>
      <c r="AU93" s="225" t="e">
        <f t="shared" si="21"/>
        <v>#N/A</v>
      </c>
      <c r="AV93" s="223" t="e">
        <f t="shared" si="20"/>
        <v>#DIV/0!</v>
      </c>
      <c r="AW93" s="225" t="e">
        <f>IF(AT93="SEE SPEC.","SEE SPEC.",IF($AK$80=3,AL93,IF($AK$80=2,AL92,IF($AK$80=1,AL91))))</f>
        <v>#N/A</v>
      </c>
      <c r="AX93" s="231" t="e">
        <f>$AX$92</f>
        <v>#N/A</v>
      </c>
      <c r="AY93" s="91" t="e">
        <f>SUM($AS$87:AS93)</f>
        <v>#DIV/0!</v>
      </c>
      <c r="BB93" s="618">
        <v>91.59999999999957</v>
      </c>
      <c r="BC93" s="619">
        <v>1.02</v>
      </c>
      <c r="BD93" s="619">
        <v>1.02</v>
      </c>
      <c r="BE93" s="618">
        <v>91.59999999999957</v>
      </c>
      <c r="BF93" s="619">
        <v>1</v>
      </c>
      <c r="BG93" s="619">
        <v>1.02</v>
      </c>
      <c r="BH93" s="623">
        <f t="shared" si="17"/>
        <v>1.02</v>
      </c>
      <c r="BI93" s="623">
        <f t="shared" si="22"/>
        <v>1.02</v>
      </c>
    </row>
    <row r="94" spans="2:61" ht="13.5" hidden="1" thickBot="1">
      <c r="B94" s="1">
        <f>A19</f>
        <v>0</v>
      </c>
      <c r="C94" s="1">
        <f aca="true" t="shared" si="23" ref="C94:C117">B19</f>
        <v>0.1</v>
      </c>
      <c r="D94" s="536">
        <f>IF(Q19="","",IF(Q19="SEE SPEC",0,IF(Q19="low voids",0,Q19)))</f>
      </c>
      <c r="E94" s="65">
        <f>IF(INT($O$44)=B94,$T$44,1)</f>
        <v>1</v>
      </c>
      <c r="F94" s="65" t="e">
        <f>IF(INT($O$49)=B94,$T$49,1)</f>
        <v>#N/A</v>
      </c>
      <c r="G94" s="65">
        <f>IF(D94="","",D94*E94*F94)</f>
      </c>
      <c r="V94" s="185">
        <v>84.90000000000012</v>
      </c>
      <c r="W94" s="212" t="s">
        <v>160</v>
      </c>
      <c r="X94" s="212" t="s">
        <v>160</v>
      </c>
      <c r="Y94" s="212" t="s">
        <v>160</v>
      </c>
      <c r="Z94" s="212" t="s">
        <v>160</v>
      </c>
      <c r="AA94" s="212" t="s">
        <v>160</v>
      </c>
      <c r="AB94" s="237" t="s">
        <v>160</v>
      </c>
      <c r="AC94" s="92"/>
      <c r="AD94" s="185">
        <v>0.1</v>
      </c>
      <c r="AE94" s="180">
        <v>0</v>
      </c>
      <c r="AF94" s="180">
        <v>0.1</v>
      </c>
      <c r="AG94" s="186">
        <v>0</v>
      </c>
      <c r="AH94" s="175"/>
      <c r="AI94" s="259"/>
      <c r="AJ94" s="260"/>
      <c r="AK94" s="260"/>
      <c r="AL94" s="260"/>
      <c r="AM94" s="260"/>
      <c r="AN94" s="233"/>
      <c r="AO94" s="261"/>
      <c r="AP94" s="253" t="e">
        <f t="shared" si="18"/>
        <v>#N/A</v>
      </c>
      <c r="AQ94" s="263"/>
      <c r="AR94" s="233" t="e">
        <f t="shared" si="19"/>
        <v>#DIV/0!</v>
      </c>
      <c r="AS94" s="233" t="e">
        <f>AF175</f>
        <v>#DIV/0!</v>
      </c>
      <c r="AT94" s="233" t="e">
        <f>IF($AN$91="SEE SPEC.","SEE SPEC.",IF(AND($AK$82=1,$AN$91&gt;=0),0,$AN$91))</f>
        <v>#N/A</v>
      </c>
      <c r="AU94" s="260" t="e">
        <f t="shared" si="21"/>
        <v>#N/A</v>
      </c>
      <c r="AV94" s="233" t="e">
        <f t="shared" si="20"/>
        <v>#DIV/0!</v>
      </c>
      <c r="AW94" s="260" t="e">
        <f>IF(AT94="SEE SPEC.","SEE SPEC.",IF($AK$80=3,AM93,IF($AK$80=2,AM92,IF($AK$80=1,AM91))))</f>
        <v>#N/A</v>
      </c>
      <c r="AX94" s="231" t="e">
        <f>$AX$92</f>
        <v>#N/A</v>
      </c>
      <c r="AY94" s="91" t="e">
        <f>SUM($AS$87:AS94)</f>
        <v>#DIV/0!</v>
      </c>
      <c r="BB94" s="618">
        <v>91.69999999999956</v>
      </c>
      <c r="BC94" s="619">
        <v>1.02</v>
      </c>
      <c r="BD94" s="619">
        <v>1.02</v>
      </c>
      <c r="BE94" s="618">
        <v>91.69999999999956</v>
      </c>
      <c r="BF94" s="619">
        <v>1</v>
      </c>
      <c r="BG94" s="619">
        <v>1.02</v>
      </c>
      <c r="BH94" s="623">
        <f t="shared" si="17"/>
        <v>1.02</v>
      </c>
      <c r="BI94" s="623">
        <f t="shared" si="22"/>
        <v>1.02</v>
      </c>
    </row>
    <row r="95" spans="3:61" ht="13.5" hidden="1" thickBot="1">
      <c r="C95" s="1">
        <f t="shared" si="23"/>
        <v>0.2</v>
      </c>
      <c r="D95" s="536">
        <f>IF(Q20="","",IF(Q20="SEE SPEC",0,IF(Q20="low voids",0,Q20)))</f>
      </c>
      <c r="E95" s="65">
        <f>IF(INT($O$44)=B94,$T$44,1)</f>
        <v>1</v>
      </c>
      <c r="F95" s="65" t="e">
        <f>IF(INT($O$49)=B94,$T$49,1)</f>
        <v>#N/A</v>
      </c>
      <c r="G95" s="65">
        <f>IF(D95="","",D95*E95*F95)</f>
      </c>
      <c r="V95" s="185">
        <v>85.00000000000011</v>
      </c>
      <c r="W95" s="212" t="s">
        <v>160</v>
      </c>
      <c r="X95" s="212" t="s">
        <v>160</v>
      </c>
      <c r="Y95" s="212" t="s">
        <v>160</v>
      </c>
      <c r="Z95" s="212" t="s">
        <v>160</v>
      </c>
      <c r="AA95" s="212" t="s">
        <v>160</v>
      </c>
      <c r="AB95" s="237" t="s">
        <v>160</v>
      </c>
      <c r="AC95" s="92"/>
      <c r="AD95" s="185">
        <v>1</v>
      </c>
      <c r="AE95" s="180">
        <v>1</v>
      </c>
      <c r="AF95" s="180">
        <v>1</v>
      </c>
      <c r="AG95" s="186">
        <v>1</v>
      </c>
      <c r="AH95" s="175"/>
      <c r="AI95" s="227">
        <v>3</v>
      </c>
      <c r="AJ95" s="251" t="e">
        <f>IF(AR95&gt;=2.5,AP95*AS95,IF(AP95&lt;0,AP95*AS95,0))</f>
        <v>#DIV/0!</v>
      </c>
      <c r="AK95" s="251" t="e">
        <f>IF(AR96&gt;=2.5,AP96*AS96,IF(AP96&lt;0,AP96*AS96,0))</f>
        <v>#DIV/0!</v>
      </c>
      <c r="AL95" s="251" t="e">
        <f>IF(AR97&gt;=2.5,AP97*AS97,IF(AP97&lt;0,AP97*AS97,0))</f>
        <v>#DIV/0!</v>
      </c>
      <c r="AM95" s="251" t="e">
        <f>IF(AR98&gt;=2.5,AP98*AS98,IF(AP98&lt;0,AP98*AS98,0))</f>
        <v>#DIV/0!</v>
      </c>
      <c r="AN95" s="228" t="e">
        <f>IF($AK$81=3,VLOOKUP($AQ$95,$V$72:$AB$222,3),IF($AK$81=4,VLOOKUP($AQ$95,$V$72:$AB$222,4),IF($AK$81=6,VLOOKUP($AQ$95,$V$72:$AB230,6),IF($AK$81=7,VLOOKUP($AQ$95,$V$72:$AB$222,7,999)))))</f>
        <v>#N/A</v>
      </c>
      <c r="AO95" s="252" t="e">
        <f>IF(OR(K27&gt;(K29+0.03),K27&lt;(K29-0.03)),K29,K27)</f>
        <v>#N/A</v>
      </c>
      <c r="AP95" s="253" t="e">
        <f t="shared" si="18"/>
        <v>#N/A</v>
      </c>
      <c r="AQ95" s="254" t="e">
        <f>M27</f>
        <v>#N/A</v>
      </c>
      <c r="AR95" s="228" t="e">
        <f t="shared" si="19"/>
        <v>#DIV/0!</v>
      </c>
      <c r="AS95" s="228" t="e">
        <f>AG172</f>
        <v>#DIV/0!</v>
      </c>
      <c r="AT95" s="696" t="e">
        <f>IF($AN$95="SEE SPEC.","SEE SPEC.",IF(AND($AK$82=1,$AN$95&gt;=0),0,$AN$95))</f>
        <v>#N/A</v>
      </c>
      <c r="AU95" s="251" t="e">
        <f t="shared" si="21"/>
        <v>#N/A</v>
      </c>
      <c r="AV95" s="228" t="e">
        <f t="shared" si="20"/>
        <v>#DIV/0!</v>
      </c>
      <c r="AW95" s="251" t="e">
        <f>IF(AT95="SEE SPEC.","SEE SPEC.",IF($AK$80=3,AJ97,IF($AK$80=2,AJ96,IF($AK$80=1,AJ95))))</f>
        <v>#N/A</v>
      </c>
      <c r="AX95" s="231" t="e">
        <f>E102*F102</f>
        <v>#N/A</v>
      </c>
      <c r="AY95" s="91" t="e">
        <f>SUM($AS$87:AS95)</f>
        <v>#DIV/0!</v>
      </c>
      <c r="BB95" s="618">
        <v>91.79999999999956</v>
      </c>
      <c r="BC95" s="619">
        <v>1.02</v>
      </c>
      <c r="BD95" s="619">
        <v>1.02</v>
      </c>
      <c r="BE95" s="618">
        <v>91.79999999999956</v>
      </c>
      <c r="BF95" s="619">
        <v>1</v>
      </c>
      <c r="BG95" s="619">
        <v>1.02</v>
      </c>
      <c r="BH95" s="623">
        <f t="shared" si="17"/>
        <v>1.02</v>
      </c>
      <c r="BI95" s="623">
        <f t="shared" si="22"/>
        <v>1.02</v>
      </c>
    </row>
    <row r="96" spans="3:61" ht="13.5" hidden="1" thickBot="1">
      <c r="C96" s="1">
        <f t="shared" si="23"/>
      </c>
      <c r="D96" s="536">
        <f>IF(Q21="","",IF(Q21="SEE SPEC",0,IF(Q21="low voids",0,Q21)))</f>
      </c>
      <c r="E96" s="65"/>
      <c r="F96" s="65"/>
      <c r="G96" s="65"/>
      <c r="V96" s="185">
        <v>85.10000000000011</v>
      </c>
      <c r="W96" s="212" t="s">
        <v>160</v>
      </c>
      <c r="X96" s="212" t="s">
        <v>160</v>
      </c>
      <c r="Y96" s="212" t="s">
        <v>160</v>
      </c>
      <c r="Z96" s="212" t="s">
        <v>160</v>
      </c>
      <c r="AA96" s="212" t="s">
        <v>160</v>
      </c>
      <c r="AB96" s="237" t="s">
        <v>160</v>
      </c>
      <c r="AC96" s="92"/>
      <c r="AD96" s="185">
        <v>546</v>
      </c>
      <c r="AE96" s="180">
        <v>2</v>
      </c>
      <c r="AF96" s="180">
        <v>601</v>
      </c>
      <c r="AG96" s="186">
        <v>2</v>
      </c>
      <c r="AH96" s="175"/>
      <c r="AI96" s="230"/>
      <c r="AJ96" s="225" t="e">
        <f>IF(AR95&gt;=3,AP95*AS95,IF(AP95&lt;0,AP95*AS95,0))</f>
        <v>#DIV/0!</v>
      </c>
      <c r="AK96" s="225" t="e">
        <f>IF(AR96&gt;=3,AP96*AS96,IF(AP96&lt;0,AP96*AS96,0))</f>
        <v>#DIV/0!</v>
      </c>
      <c r="AL96" s="225" t="e">
        <f>IF(AR97&gt;=3,AP97*AS97,IF(AP97&lt;0,AP97*AS97,0))</f>
        <v>#DIV/0!</v>
      </c>
      <c r="AM96" s="225" t="e">
        <f>IF(AR98&gt;=3,AP98*AS98,IF(AP98&lt;0,AP98*AS98,0))</f>
        <v>#DIV/0!</v>
      </c>
      <c r="AN96" s="228" t="e">
        <f>IF($AK$81=3,VLOOKUP($AQ$95,$V$72:$AB$222,3),IF($AK$81=4,VLOOKUP($AQ$95,$V$72:$AB$222,4),IF($AK$81=6,VLOOKUP($AQ$95,$V$72:$AB231,6),IF($AK$81=7,VLOOKUP($AQ$95,$V$72:$AB$222,7,999)))))</f>
        <v>#N/A</v>
      </c>
      <c r="AO96" s="256" t="e">
        <f>IF(OR(K28&gt;(K29+0.03),K28&lt;(K29-0.03)),K29,K28)</f>
        <v>#N/A</v>
      </c>
      <c r="AP96" s="253" t="e">
        <f t="shared" si="18"/>
        <v>#N/A</v>
      </c>
      <c r="AQ96" s="258"/>
      <c r="AR96" s="223" t="e">
        <f t="shared" si="19"/>
        <v>#DIV/0!</v>
      </c>
      <c r="AS96" s="223" t="e">
        <f>AG173</f>
        <v>#DIV/0!</v>
      </c>
      <c r="AT96" s="223" t="e">
        <f>IF($AN$95="SEE SPEC.","SEE SPEC.",IF(AND($AK$82=1,$AN$95&gt;=0),0,$AN$95))</f>
        <v>#N/A</v>
      </c>
      <c r="AU96" s="225" t="e">
        <f t="shared" si="21"/>
        <v>#N/A</v>
      </c>
      <c r="AV96" s="223" t="e">
        <f t="shared" si="20"/>
        <v>#DIV/0!</v>
      </c>
      <c r="AW96" s="225" t="e">
        <f>IF(AT96="SEE SPEC.","SEE SPEC.",IF($AK$80=3,AK97,IF($AK$80=2,AK96,IF($AK$80=1,AK95))))</f>
        <v>#N/A</v>
      </c>
      <c r="AX96" s="231" t="e">
        <f>E103*F103</f>
        <v>#N/A</v>
      </c>
      <c r="AY96" s="91" t="e">
        <f>SUM($AS$87:AS96)</f>
        <v>#DIV/0!</v>
      </c>
      <c r="BB96" s="618">
        <v>91.89999999999955</v>
      </c>
      <c r="BC96" s="619">
        <v>1.02</v>
      </c>
      <c r="BD96" s="619">
        <v>1.02</v>
      </c>
      <c r="BE96" s="618">
        <v>91.89999999999955</v>
      </c>
      <c r="BF96" s="619">
        <v>1</v>
      </c>
      <c r="BG96" s="619">
        <v>1.02</v>
      </c>
      <c r="BH96" s="623">
        <f t="shared" si="17"/>
        <v>1.02</v>
      </c>
      <c r="BI96" s="623">
        <f t="shared" si="22"/>
        <v>1.02</v>
      </c>
    </row>
    <row r="97" spans="3:61" ht="13.5" hidden="1" thickBot="1">
      <c r="C97" s="1">
        <f t="shared" si="23"/>
      </c>
      <c r="D97" s="536">
        <f>IF(Q22="","",IF(Q22="SEE SPEC",0,IF(Q22="low voids",0,Q22)))</f>
      </c>
      <c r="E97" s="65"/>
      <c r="F97" s="65"/>
      <c r="G97" s="65"/>
      <c r="V97" s="185">
        <v>85.2000000000001</v>
      </c>
      <c r="W97" s="212" t="s">
        <v>160</v>
      </c>
      <c r="X97" s="212" t="s">
        <v>160</v>
      </c>
      <c r="Y97" s="212" t="s">
        <v>160</v>
      </c>
      <c r="Z97" s="212" t="s">
        <v>160</v>
      </c>
      <c r="AA97" s="212" t="s">
        <v>160</v>
      </c>
      <c r="AB97" s="237" t="s">
        <v>160</v>
      </c>
      <c r="AC97" s="92"/>
      <c r="AD97" s="185">
        <v>911</v>
      </c>
      <c r="AE97" s="180">
        <v>3</v>
      </c>
      <c r="AF97" s="180">
        <v>1001</v>
      </c>
      <c r="AG97" s="187">
        <v>3</v>
      </c>
      <c r="AH97" s="175"/>
      <c r="AI97" s="230"/>
      <c r="AJ97" s="225" t="e">
        <f>IF(AR95&gt;=3.5,AP95*AS95,IF(AP95&lt;0,AP95*AS95,0))</f>
        <v>#DIV/0!</v>
      </c>
      <c r="AK97" s="225" t="e">
        <f>IF(AR96&gt;=3.5,AP96*AS96,IF(AP96&lt;0,AP96*AS96,0))</f>
        <v>#DIV/0!</v>
      </c>
      <c r="AL97" s="225" t="e">
        <f>IF(AR97&gt;=3.5,AP97*AS97,IF(AP97&lt;0,AP97*AS97,0))</f>
        <v>#DIV/0!</v>
      </c>
      <c r="AM97" s="225" t="e">
        <f>IF(AR98&gt;=3.5,AP98*AS98,IF(AP98&lt;0,AP98*AS98,0))</f>
        <v>#DIV/0!</v>
      </c>
      <c r="AN97" s="228" t="e">
        <f>IF($AK$81=3,VLOOKUP($AQ$95,$V$72:$AB$222,3),IF($AK$81=4,VLOOKUP($AQ$95,$V$72:$AB$222,4),IF($AK$81=6,VLOOKUP($AQ$95,$V$72:$AB232,6),IF($AK$81=7,VLOOKUP($AQ$95,$V$72:$AB$222,7,999)))))</f>
        <v>#N/A</v>
      </c>
      <c r="AO97" s="256"/>
      <c r="AP97" s="253" t="e">
        <f t="shared" si="18"/>
        <v>#N/A</v>
      </c>
      <c r="AQ97" s="258"/>
      <c r="AR97" s="223" t="e">
        <f t="shared" si="19"/>
        <v>#DIV/0!</v>
      </c>
      <c r="AS97" s="223" t="e">
        <f>AG174</f>
        <v>#DIV/0!</v>
      </c>
      <c r="AT97" s="223" t="e">
        <f>IF($AN$95="SEE SPEC.","SEE SPEC.",IF(AND($AK$82=1,$AN$95&gt;=0),0,$AN$95))</f>
        <v>#N/A</v>
      </c>
      <c r="AU97" s="225" t="e">
        <f t="shared" si="21"/>
        <v>#N/A</v>
      </c>
      <c r="AV97" s="223" t="e">
        <f t="shared" si="20"/>
        <v>#DIV/0!</v>
      </c>
      <c r="AW97" s="225" t="e">
        <f>IF(AT97="SEE SPEC.","SEE SPEC.",IF($AK$80=3,AL97,IF($AK$80=2,AL96,IF($AK$80=1,AL95))))</f>
        <v>#N/A</v>
      </c>
      <c r="AX97" s="231" t="e">
        <f>$AX$96</f>
        <v>#N/A</v>
      </c>
      <c r="AY97" s="91" t="e">
        <f>SUM($AS$87:AS97)</f>
        <v>#DIV/0!</v>
      </c>
      <c r="BB97" s="618">
        <v>91.99999999999955</v>
      </c>
      <c r="BC97" s="619">
        <v>1.02</v>
      </c>
      <c r="BD97" s="619">
        <v>1.02</v>
      </c>
      <c r="BE97" s="618">
        <v>91.99999999999955</v>
      </c>
      <c r="BF97" s="619">
        <v>1</v>
      </c>
      <c r="BG97" s="619">
        <v>1.02</v>
      </c>
      <c r="BH97" s="623">
        <f t="shared" si="17"/>
        <v>1.02</v>
      </c>
      <c r="BI97" s="623">
        <f t="shared" si="22"/>
        <v>1.02</v>
      </c>
    </row>
    <row r="98" spans="2:61" ht="13.5" hidden="1" thickBot="1">
      <c r="B98" s="1" t="e">
        <f>A23</f>
        <v>#N/A</v>
      </c>
      <c r="C98" s="690" t="e">
        <f t="shared" si="23"/>
        <v>#N/A</v>
      </c>
      <c r="D98" s="536" t="e">
        <f>IF(Q23="","",IF(Q23="SEE SPEC",0,IF(Q23="low voids",0,Q23)))</f>
        <v>#N/A</v>
      </c>
      <c r="E98" s="65" t="e">
        <f>IF(INT($O$44)=B98,$T$44,1)</f>
        <v>#N/A</v>
      </c>
      <c r="F98" s="65" t="e">
        <f>IF(INT($O$49)=B98,$T$49,1)</f>
        <v>#N/A</v>
      </c>
      <c r="G98" s="65" t="e">
        <f>IF(D98="","",D98*E98*F98)</f>
        <v>#N/A</v>
      </c>
      <c r="V98" s="185">
        <v>85.3000000000001</v>
      </c>
      <c r="W98" s="212" t="s">
        <v>160</v>
      </c>
      <c r="X98" s="212" t="s">
        <v>160</v>
      </c>
      <c r="Y98" s="212" t="s">
        <v>160</v>
      </c>
      <c r="Z98" s="212" t="s">
        <v>160</v>
      </c>
      <c r="AA98" s="212" t="s">
        <v>160</v>
      </c>
      <c r="AB98" s="237" t="s">
        <v>160</v>
      </c>
      <c r="AC98" s="92"/>
      <c r="AD98" s="185">
        <v>1456</v>
      </c>
      <c r="AE98" s="180">
        <v>4</v>
      </c>
      <c r="AF98" s="180">
        <v>1601</v>
      </c>
      <c r="AG98" s="187">
        <v>4</v>
      </c>
      <c r="AH98" s="175"/>
      <c r="AI98" s="259"/>
      <c r="AJ98" s="260"/>
      <c r="AK98" s="260"/>
      <c r="AL98" s="260"/>
      <c r="AM98" s="260"/>
      <c r="AN98" s="233"/>
      <c r="AO98" s="261"/>
      <c r="AP98" s="253" t="e">
        <f t="shared" si="18"/>
        <v>#N/A</v>
      </c>
      <c r="AQ98" s="263"/>
      <c r="AR98" s="233" t="e">
        <f t="shared" si="19"/>
        <v>#DIV/0!</v>
      </c>
      <c r="AS98" s="233" t="e">
        <f>AG175</f>
        <v>#DIV/0!</v>
      </c>
      <c r="AT98" s="233" t="e">
        <f>IF($AN$95="SEE SPEC.","SEE SPEC.",IF(AND($AK$82=1,$AN$95&gt;=0),0,$AN$95))</f>
        <v>#N/A</v>
      </c>
      <c r="AU98" s="260" t="e">
        <f t="shared" si="21"/>
        <v>#N/A</v>
      </c>
      <c r="AV98" s="233" t="e">
        <f t="shared" si="20"/>
        <v>#DIV/0!</v>
      </c>
      <c r="AW98" s="260" t="e">
        <f>IF(AT98="SEE SPEC.","SEE SPEC.",IF($AK$80=3,AM97,IF($AK$80=2,AM96,IF($AK$80=1,AM95))))</f>
        <v>#N/A</v>
      </c>
      <c r="AX98" s="231" t="e">
        <f>$AX$96</f>
        <v>#N/A</v>
      </c>
      <c r="AY98" s="91" t="e">
        <f>SUM($AS$87:AS98)</f>
        <v>#DIV/0!</v>
      </c>
      <c r="BB98" s="618">
        <v>92.09999999999954</v>
      </c>
      <c r="BC98" s="619">
        <v>1.02</v>
      </c>
      <c r="BD98" s="619">
        <v>1.02</v>
      </c>
      <c r="BE98" s="618">
        <v>92.09999999999954</v>
      </c>
      <c r="BF98" s="619">
        <v>1.01</v>
      </c>
      <c r="BG98" s="619">
        <v>1.02</v>
      </c>
      <c r="BH98" s="623">
        <f t="shared" si="17"/>
        <v>1.02</v>
      </c>
      <c r="BI98" s="623">
        <f t="shared" si="22"/>
        <v>1.02</v>
      </c>
    </row>
    <row r="99" spans="3:61" ht="13.5" hidden="1" thickBot="1">
      <c r="C99" s="1" t="e">
        <f t="shared" si="23"/>
        <v>#N/A</v>
      </c>
      <c r="D99" s="536" t="e">
        <f aca="true" t="shared" si="24" ref="D99:D117">IF(Q24="","",IF(Q24="SEE SPEC",0,IF(Q24="low voids",0,Q24)))</f>
        <v>#N/A</v>
      </c>
      <c r="E99" s="65" t="e">
        <f>IF(INT($O$44)=B98,$T$44,1)</f>
        <v>#N/A</v>
      </c>
      <c r="F99" s="65" t="e">
        <f>IF(INT($O$49)=B98,$T$49,1)</f>
        <v>#N/A</v>
      </c>
      <c r="G99" s="65" t="e">
        <f>IF(D99="","",D99*E99*F99)</f>
        <v>#N/A</v>
      </c>
      <c r="V99" s="185">
        <v>85.40000000000009</v>
      </c>
      <c r="W99" s="212" t="s">
        <v>160</v>
      </c>
      <c r="X99" s="212" t="s">
        <v>160</v>
      </c>
      <c r="Y99" s="212" t="s">
        <v>160</v>
      </c>
      <c r="Z99" s="212" t="s">
        <v>160</v>
      </c>
      <c r="AA99" s="212" t="s">
        <v>160</v>
      </c>
      <c r="AB99" s="237" t="s">
        <v>160</v>
      </c>
      <c r="AC99" s="92"/>
      <c r="AD99" s="185">
        <v>3276</v>
      </c>
      <c r="AE99" s="180">
        <v>5</v>
      </c>
      <c r="AF99" s="180">
        <v>3601</v>
      </c>
      <c r="AG99" s="187">
        <v>5</v>
      </c>
      <c r="AH99" s="175"/>
      <c r="AI99" s="227">
        <v>4</v>
      </c>
      <c r="AJ99" s="251" t="e">
        <f>IF(AR99&gt;=2.5,AP99*AS99,IF(AP99&lt;0,AP99*AS99,0))</f>
        <v>#DIV/0!</v>
      </c>
      <c r="AK99" s="251" t="e">
        <f>IF(AR100&gt;=2.5,AP100*AS100,IF(AP100&lt;0,AP100*AS100,0))</f>
        <v>#DIV/0!</v>
      </c>
      <c r="AL99" s="251" t="e">
        <f>IF(AR101&gt;=2.5,AP101*AS101,IF(AP101&lt;0,AP101*AS101,0))</f>
        <v>#DIV/0!</v>
      </c>
      <c r="AM99" s="251" t="e">
        <f>IF(AR102&gt;=2.5,AP102*AS102,IF(AP102&lt;0,AP102*AS102,0))</f>
        <v>#DIV/0!</v>
      </c>
      <c r="AN99" s="228" t="e">
        <f>IF($AK$81=3,VLOOKUP($AQ$99,$V$72:$AB$222,3),IF($AK$81=4,VLOOKUP($AQ$99,$V$72:$AB$222,4),IF($AK$81=6,VLOOKUP($AQ$99,$V$72:$AB234,6),IF($AK$81=7,VLOOKUP($AQ$99,$V$72:$AB$222,7,999)))))</f>
        <v>#N/A</v>
      </c>
      <c r="AO99" s="252" t="e">
        <f>IF(OR(K31&gt;(K33+0.03),K31&lt;(K33-0.03)),K33,K31)</f>
        <v>#N/A</v>
      </c>
      <c r="AP99" s="253" t="e">
        <f t="shared" si="18"/>
        <v>#N/A</v>
      </c>
      <c r="AQ99" s="254" t="e">
        <f>M31</f>
        <v>#N/A</v>
      </c>
      <c r="AR99" s="228" t="e">
        <f t="shared" si="19"/>
        <v>#DIV/0!</v>
      </c>
      <c r="AS99" s="228" t="e">
        <f>AH172</f>
        <v>#DIV/0!</v>
      </c>
      <c r="AT99" s="228" t="e">
        <f>IF($AN$99="SEE SPEC.","SEE SPEC.",IF(AND($AK$82=1,$AN$99&gt;=0),0,$AN$99))</f>
        <v>#N/A</v>
      </c>
      <c r="AU99" s="251" t="e">
        <f t="shared" si="21"/>
        <v>#N/A</v>
      </c>
      <c r="AV99" s="228" t="e">
        <f t="shared" si="20"/>
        <v>#DIV/0!</v>
      </c>
      <c r="AW99" s="251" t="e">
        <f>IF(AT99="SEE SPEC.","SEE SPEC.",IF($AK$80=3,AJ101,IF($AK$80=2,AJ100,IF($AK$80=1,AJ99))))</f>
        <v>#N/A</v>
      </c>
      <c r="AX99" s="231" t="e">
        <f>E106*F106</f>
        <v>#N/A</v>
      </c>
      <c r="AY99" s="91" t="e">
        <f>SUM($AS$87:AS99)</f>
        <v>#DIV/0!</v>
      </c>
      <c r="BB99" s="618">
        <v>92.19999999999953</v>
      </c>
      <c r="BC99" s="619">
        <v>1.02</v>
      </c>
      <c r="BD99" s="619">
        <v>1.02</v>
      </c>
      <c r="BE99" s="618">
        <v>92.19999999999953</v>
      </c>
      <c r="BF99" s="619">
        <v>1.01</v>
      </c>
      <c r="BG99" s="619">
        <v>1.02</v>
      </c>
      <c r="BH99" s="623">
        <f t="shared" si="17"/>
        <v>1.02</v>
      </c>
      <c r="BI99" s="623">
        <f t="shared" si="22"/>
        <v>1.02</v>
      </c>
    </row>
    <row r="100" spans="3:61" ht="13.5" hidden="1" thickBot="1">
      <c r="C100" s="1" t="e">
        <f t="shared" si="23"/>
        <v>#N/A</v>
      </c>
      <c r="D100" s="536" t="e">
        <f t="shared" si="24"/>
        <v>#N/A</v>
      </c>
      <c r="E100" s="65"/>
      <c r="F100" s="65"/>
      <c r="G100" s="65"/>
      <c r="V100" s="185">
        <v>85.50000000000009</v>
      </c>
      <c r="W100" s="212" t="s">
        <v>160</v>
      </c>
      <c r="X100" s="212" t="s">
        <v>160</v>
      </c>
      <c r="Y100" s="212" t="s">
        <v>160</v>
      </c>
      <c r="Z100" s="212" t="s">
        <v>160</v>
      </c>
      <c r="AA100" s="212" t="s">
        <v>160</v>
      </c>
      <c r="AB100" s="237" t="s">
        <v>160</v>
      </c>
      <c r="AC100" s="92"/>
      <c r="AD100" s="185">
        <v>4546</v>
      </c>
      <c r="AE100" s="180">
        <v>6</v>
      </c>
      <c r="AF100" s="180">
        <v>5001</v>
      </c>
      <c r="AG100" s="187">
        <v>6</v>
      </c>
      <c r="AH100" s="175"/>
      <c r="AI100" s="230"/>
      <c r="AJ100" s="225" t="e">
        <f>IF(AR99&gt;=3,AP99*AS99,IF(AP99&lt;0,AP99*AS99,0))</f>
        <v>#DIV/0!</v>
      </c>
      <c r="AK100" s="225" t="e">
        <f>IF(AR100&gt;=3,AP100*AS100,IF(AP100&lt;0,AP100*AS100,0))</f>
        <v>#DIV/0!</v>
      </c>
      <c r="AL100" s="225" t="e">
        <f>IF(AR101&gt;=3,AP101*AS101,IF(AP101&lt;0,AP101*AS101,0))</f>
        <v>#DIV/0!</v>
      </c>
      <c r="AM100" s="225" t="e">
        <f>IF(AR102&gt;=3,AP102*AS102,IF(AP102&lt;0,AP102*AS102,0))</f>
        <v>#DIV/0!</v>
      </c>
      <c r="AN100" s="228" t="e">
        <f>IF($AK$81=3,VLOOKUP($AQ$99,$V$72:$AB$222,3),IF($AK$81=4,VLOOKUP($AQ$99,$V$72:$AB$222,4),IF($AK$81=6,VLOOKUP($AQ$99,$V$72:$AB235,6),IF($AK$81=7,VLOOKUP($AQ$99,$V$72:$AB$222,7,999)))))</f>
        <v>#N/A</v>
      </c>
      <c r="AO100" s="256" t="e">
        <f>IF(OR(K32&gt;(K33+0.03),K32&lt;(K33-0.03)),K33,K32)</f>
        <v>#N/A</v>
      </c>
      <c r="AP100" s="253" t="e">
        <f t="shared" si="18"/>
        <v>#N/A</v>
      </c>
      <c r="AQ100" s="258"/>
      <c r="AR100" s="223" t="e">
        <f t="shared" si="19"/>
        <v>#DIV/0!</v>
      </c>
      <c r="AS100" s="223" t="e">
        <f>AH173</f>
        <v>#DIV/0!</v>
      </c>
      <c r="AT100" s="223" t="e">
        <f>IF($AN$99="SEE SPEC.","SEE SPEC.",IF(AND($AK$82=1,$AN$99&gt;=0),0,$AN$99))</f>
        <v>#N/A</v>
      </c>
      <c r="AU100" s="225" t="e">
        <f t="shared" si="21"/>
        <v>#N/A</v>
      </c>
      <c r="AV100" s="223" t="e">
        <f t="shared" si="20"/>
        <v>#DIV/0!</v>
      </c>
      <c r="AW100" s="225" t="e">
        <f>IF(AT100="SEE SPEC.","SEE SPEC.",IF($AK$80=3,AK101,IF($AK$80=2,AK100,IF($AK$80=1,AK99))))</f>
        <v>#N/A</v>
      </c>
      <c r="AX100" s="231" t="e">
        <f>E107*F107</f>
        <v>#N/A</v>
      </c>
      <c r="AY100" s="91" t="e">
        <f>SUM($AS$87:AS100)</f>
        <v>#DIV/0!</v>
      </c>
      <c r="BB100" s="618">
        <v>92.29999999999953</v>
      </c>
      <c r="BC100" s="619">
        <v>1.02</v>
      </c>
      <c r="BD100" s="619">
        <v>1.02</v>
      </c>
      <c r="BE100" s="618">
        <v>92.29999999999953</v>
      </c>
      <c r="BF100" s="619">
        <v>1.01</v>
      </c>
      <c r="BG100" s="619">
        <v>1.02</v>
      </c>
      <c r="BH100" s="623">
        <f t="shared" si="17"/>
        <v>1.02</v>
      </c>
      <c r="BI100" s="623">
        <f t="shared" si="22"/>
        <v>1.02</v>
      </c>
    </row>
    <row r="101" spans="3:61" ht="13.5" hidden="1" thickBot="1">
      <c r="C101" s="1" t="e">
        <f t="shared" si="23"/>
        <v>#N/A</v>
      </c>
      <c r="D101" s="536" t="e">
        <f t="shared" si="24"/>
        <v>#N/A</v>
      </c>
      <c r="E101" s="65"/>
      <c r="F101" s="65"/>
      <c r="G101" s="65"/>
      <c r="V101" s="185">
        <v>85.60000000000008</v>
      </c>
      <c r="W101" s="212" t="s">
        <v>160</v>
      </c>
      <c r="X101" s="212" t="s">
        <v>160</v>
      </c>
      <c r="Y101" s="212" t="s">
        <v>160</v>
      </c>
      <c r="Z101" s="212" t="s">
        <v>160</v>
      </c>
      <c r="AA101" s="212" t="s">
        <v>160</v>
      </c>
      <c r="AB101" s="237" t="s">
        <v>160</v>
      </c>
      <c r="AC101" s="92"/>
      <c r="AD101" s="188">
        <v>9999</v>
      </c>
      <c r="AE101" s="189">
        <v>6</v>
      </c>
      <c r="AF101" s="189">
        <v>9999</v>
      </c>
      <c r="AG101" s="190">
        <v>6</v>
      </c>
      <c r="AH101" s="175"/>
      <c r="AI101" s="266"/>
      <c r="AJ101" s="225" t="e">
        <f>IF(AR99&gt;=3.5,AP99*AS99,IF(AP99&lt;0,AP99*AS99,0))</f>
        <v>#DIV/0!</v>
      </c>
      <c r="AK101" s="225" t="e">
        <f>IF(AR100&gt;=3.5,AP100*AS100,IF(AP100&lt;0,AP100*AS100,0))</f>
        <v>#DIV/0!</v>
      </c>
      <c r="AL101" s="225" t="e">
        <f>IF(AR101&gt;=3.5,AP101*AS101,IF(AP101&lt;0,AP101*AS101,0))</f>
        <v>#DIV/0!</v>
      </c>
      <c r="AM101" s="225" t="e">
        <f>IF(AR102&gt;=3.5,AP102*AS102,IF(AP102&lt;0,AP102*AS102,0))</f>
        <v>#DIV/0!</v>
      </c>
      <c r="AN101" s="228" t="e">
        <f>IF($AK$81=3,VLOOKUP($AQ$99,$V$72:$AB$222,3),IF($AK$81=4,VLOOKUP($AQ$99,$V$72:$AB$222,4),IF($AK$81=6,VLOOKUP($AQ$99,$V$72:$AB236,6),IF($AK$81=7,VLOOKUP($AQ$99,$V$72:$AB$222,7,999)))))</f>
        <v>#N/A</v>
      </c>
      <c r="AO101" s="256"/>
      <c r="AP101" s="253" t="e">
        <f t="shared" si="18"/>
        <v>#N/A</v>
      </c>
      <c r="AQ101" s="258"/>
      <c r="AR101" s="223" t="e">
        <f t="shared" si="19"/>
        <v>#DIV/0!</v>
      </c>
      <c r="AS101" s="223" t="e">
        <f>AH174</f>
        <v>#DIV/0!</v>
      </c>
      <c r="AT101" s="223" t="e">
        <f>IF($AN$99="SEE SPEC.","SEE SPEC.",IF(AND($AK$82=1,$AN$99&gt;=0),0,$AN$99))</f>
        <v>#N/A</v>
      </c>
      <c r="AU101" s="225" t="e">
        <f t="shared" si="21"/>
        <v>#N/A</v>
      </c>
      <c r="AV101" s="223" t="e">
        <f t="shared" si="20"/>
        <v>#DIV/0!</v>
      </c>
      <c r="AW101" s="225" t="e">
        <f>IF(AT101="SEE SPEC.","SEE SPEC.",IF($AK$80=3,AL101,IF($AK$80=2,AL100,IF($AK$80=1,AL99))))</f>
        <v>#N/A</v>
      </c>
      <c r="AX101" s="231" t="e">
        <f>$AX$100</f>
        <v>#N/A</v>
      </c>
      <c r="AY101" s="91" t="e">
        <f>SUM($AS$87:AS101)</f>
        <v>#DIV/0!</v>
      </c>
      <c r="BB101" s="618">
        <v>92.39999999999952</v>
      </c>
      <c r="BC101" s="619">
        <v>1.02</v>
      </c>
      <c r="BD101" s="619">
        <v>1.02</v>
      </c>
      <c r="BE101" s="618">
        <v>92.39999999999952</v>
      </c>
      <c r="BF101" s="619">
        <v>1.01</v>
      </c>
      <c r="BG101" s="619">
        <v>1.02</v>
      </c>
      <c r="BH101" s="623">
        <f t="shared" si="17"/>
        <v>1.02</v>
      </c>
      <c r="BI101" s="623">
        <f t="shared" si="22"/>
        <v>1.02</v>
      </c>
    </row>
    <row r="102" spans="2:61" ht="13.5" hidden="1" thickBot="1">
      <c r="B102" s="1" t="e">
        <f>A27</f>
        <v>#N/A</v>
      </c>
      <c r="C102" s="690" t="e">
        <f t="shared" si="23"/>
        <v>#N/A</v>
      </c>
      <c r="D102" s="536" t="e">
        <f t="shared" si="24"/>
        <v>#N/A</v>
      </c>
      <c r="E102" s="65" t="e">
        <f>IF(INT($O$44)=B102,$T$44,1)</f>
        <v>#N/A</v>
      </c>
      <c r="F102" s="65" t="e">
        <f>IF(INT($O$49)=B102,$T$49,1)</f>
        <v>#N/A</v>
      </c>
      <c r="G102" s="65" t="e">
        <f>IF(D102="","",D102*E102*F102)</f>
        <v>#N/A</v>
      </c>
      <c r="V102" s="185">
        <v>85.70000000000007</v>
      </c>
      <c r="W102" s="212" t="s">
        <v>160</v>
      </c>
      <c r="X102" s="212" t="s">
        <v>160</v>
      </c>
      <c r="Y102" s="212" t="s">
        <v>160</v>
      </c>
      <c r="Z102" s="212" t="s">
        <v>160</v>
      </c>
      <c r="AA102" s="212" t="s">
        <v>160</v>
      </c>
      <c r="AB102" s="237" t="s">
        <v>160</v>
      </c>
      <c r="AC102" s="92"/>
      <c r="AD102" s="92"/>
      <c r="AE102" s="92"/>
      <c r="AF102" s="175"/>
      <c r="AG102" s="175"/>
      <c r="AH102" s="175"/>
      <c r="AI102" s="259"/>
      <c r="AJ102" s="260"/>
      <c r="AK102" s="260"/>
      <c r="AL102" s="260"/>
      <c r="AM102" s="260"/>
      <c r="AN102" s="233"/>
      <c r="AO102" s="261"/>
      <c r="AP102" s="253" t="e">
        <f t="shared" si="18"/>
        <v>#N/A</v>
      </c>
      <c r="AQ102" s="263"/>
      <c r="AR102" s="233" t="e">
        <f t="shared" si="19"/>
        <v>#DIV/0!</v>
      </c>
      <c r="AS102" s="233" t="e">
        <f>AH175</f>
        <v>#DIV/0!</v>
      </c>
      <c r="AT102" s="233" t="e">
        <f>IF($AN$99="SEE SPEC.","SEE SPEC.",IF(AND($AK$82=1,$AN$99&gt;=0),0,$AN$99))</f>
        <v>#N/A</v>
      </c>
      <c r="AU102" s="260" t="e">
        <f t="shared" si="21"/>
        <v>#N/A</v>
      </c>
      <c r="AV102" s="233" t="e">
        <f t="shared" si="20"/>
        <v>#DIV/0!</v>
      </c>
      <c r="AW102" s="260" t="e">
        <f>IF(AT102="SEE SPEC.","SEE SPEC.",IF($AK$80=3,AM101,IF($AK$80=2,AM100,IF($AK$80=1,AM99))))</f>
        <v>#N/A</v>
      </c>
      <c r="AX102" s="231" t="e">
        <f>$AX$100</f>
        <v>#N/A</v>
      </c>
      <c r="AY102" s="91" t="e">
        <f>SUM($AS$87:AS102)</f>
        <v>#DIV/0!</v>
      </c>
      <c r="BB102" s="618">
        <v>92.49999999999952</v>
      </c>
      <c r="BC102" s="619">
        <v>1.02</v>
      </c>
      <c r="BD102" s="619">
        <v>1.02</v>
      </c>
      <c r="BE102" s="618">
        <v>92.49999999999952</v>
      </c>
      <c r="BF102" s="619">
        <v>1.01</v>
      </c>
      <c r="BG102" s="619">
        <v>1.02</v>
      </c>
      <c r="BH102" s="623">
        <f t="shared" si="17"/>
        <v>1.02</v>
      </c>
      <c r="BI102" s="623">
        <f t="shared" si="22"/>
        <v>1.02</v>
      </c>
    </row>
    <row r="103" spans="3:61" ht="13.5" hidden="1" thickBot="1">
      <c r="C103" s="1" t="e">
        <f t="shared" si="23"/>
        <v>#N/A</v>
      </c>
      <c r="D103" s="536" t="e">
        <f t="shared" si="24"/>
        <v>#N/A</v>
      </c>
      <c r="E103" s="65" t="e">
        <f>IF(INT($O$44)=B102,$T$44,1)</f>
        <v>#N/A</v>
      </c>
      <c r="F103" s="65" t="e">
        <f>IF(INT($O$49)=B102,$T$49,1)</f>
        <v>#N/A</v>
      </c>
      <c r="G103" s="65" t="e">
        <f>IF(D103="","",D103*E103*F103)</f>
        <v>#N/A</v>
      </c>
      <c r="V103" s="185">
        <v>85.80000000000007</v>
      </c>
      <c r="W103" s="212" t="s">
        <v>160</v>
      </c>
      <c r="X103" s="212" t="s">
        <v>160</v>
      </c>
      <c r="Y103" s="212" t="s">
        <v>160</v>
      </c>
      <c r="Z103" s="212" t="s">
        <v>160</v>
      </c>
      <c r="AA103" s="212" t="s">
        <v>160</v>
      </c>
      <c r="AB103" s="237" t="s">
        <v>160</v>
      </c>
      <c r="AC103" s="92"/>
      <c r="AD103" s="175"/>
      <c r="AE103" s="175"/>
      <c r="AF103" s="175"/>
      <c r="AG103" s="175"/>
      <c r="AH103" s="175"/>
      <c r="AI103" s="227">
        <v>5</v>
      </c>
      <c r="AJ103" s="251" t="e">
        <f>IF(AR103&gt;=2.5,AP103*AS103,IF(AP103&lt;0,AP103*AS103,0))</f>
        <v>#DIV/0!</v>
      </c>
      <c r="AK103" s="251" t="e">
        <f>IF(AR104&gt;=2.5,AP104*AS104,IF(AP104&lt;0,AP104*AS104,0))</f>
        <v>#DIV/0!</v>
      </c>
      <c r="AL103" s="251" t="e">
        <f>IF(AR105&gt;=2.5,AP105*AS105,IF(AP105&lt;0,AP105*AS105,0))</f>
        <v>#DIV/0!</v>
      </c>
      <c r="AM103" s="251" t="e">
        <f>IF(AR106&gt;=2.5,AP106*AS106,IF(AP106&lt;0,AP106*AS106,0))</f>
        <v>#DIV/0!</v>
      </c>
      <c r="AN103" s="228" t="e">
        <f>IF($AK$81=3,VLOOKUP($AQ$103,$V$72:$AB$222,3),IF($AK$81=4,VLOOKUP($AQ$103,$V$72:$AB$222,4),IF($AK$81=6,VLOOKUP($AQ$103,$V$72:$AB238,6),IF($AK$81=7,VLOOKUP($AQ$103,$V$72:$AB$222,7,999)))))</f>
        <v>#N/A</v>
      </c>
      <c r="AO103" s="252" t="e">
        <f>IF(OR(K35&gt;(K37+0.03),K35&lt;(K37-0.03)),K37,K35)</f>
        <v>#N/A</v>
      </c>
      <c r="AP103" s="253" t="e">
        <f t="shared" si="18"/>
        <v>#N/A</v>
      </c>
      <c r="AQ103" s="254" t="e">
        <f>M35</f>
        <v>#N/A</v>
      </c>
      <c r="AR103" s="228" t="e">
        <f t="shared" si="19"/>
        <v>#DIV/0!</v>
      </c>
      <c r="AS103" s="228" t="e">
        <f>AI172</f>
        <v>#DIV/0!</v>
      </c>
      <c r="AT103" s="228" t="e">
        <f>IF($AN$103="SEE SPEC.","SEE SPEC.",IF(AND($AK$82=1,$AN$103&gt;=0),0,$AN$103))</f>
        <v>#N/A</v>
      </c>
      <c r="AU103" s="251" t="e">
        <f t="shared" si="21"/>
        <v>#N/A</v>
      </c>
      <c r="AV103" s="228" t="e">
        <f t="shared" si="20"/>
        <v>#DIV/0!</v>
      </c>
      <c r="AW103" s="251" t="e">
        <f>IF(AT103="SEE SPEC.","SEE SPEC.",IF($AK$80=3,AJ105,IF($AK$80=2,AJ104,IF($AK$80=1,AJ103))))</f>
        <v>#N/A</v>
      </c>
      <c r="AX103" s="231" t="e">
        <f>E110*F110</f>
        <v>#N/A</v>
      </c>
      <c r="AY103" s="91" t="e">
        <f>SUM($AS$87:AS103)</f>
        <v>#DIV/0!</v>
      </c>
      <c r="BB103" s="618">
        <v>92.59999999999951</v>
      </c>
      <c r="BC103" s="619">
        <v>1.02</v>
      </c>
      <c r="BD103" s="619">
        <v>1.02</v>
      </c>
      <c r="BE103" s="618">
        <v>92.59999999999951</v>
      </c>
      <c r="BF103" s="619">
        <v>1.02</v>
      </c>
      <c r="BG103" s="619">
        <v>1.02</v>
      </c>
      <c r="BH103" s="623">
        <f t="shared" si="17"/>
        <v>1.02</v>
      </c>
      <c r="BI103" s="623">
        <f t="shared" si="22"/>
        <v>1.02</v>
      </c>
    </row>
    <row r="104" spans="3:61" ht="13.5" hidden="1" thickBot="1">
      <c r="C104" s="1" t="e">
        <f t="shared" si="23"/>
        <v>#N/A</v>
      </c>
      <c r="D104" s="536" t="e">
        <f t="shared" si="24"/>
        <v>#N/A</v>
      </c>
      <c r="E104" s="65"/>
      <c r="F104" s="65"/>
      <c r="G104" s="65"/>
      <c r="V104" s="185">
        <v>85.90000000000006</v>
      </c>
      <c r="W104" s="212" t="s">
        <v>160</v>
      </c>
      <c r="X104" s="212" t="s">
        <v>160</v>
      </c>
      <c r="Y104" s="212" t="s">
        <v>160</v>
      </c>
      <c r="Z104" s="212" t="s">
        <v>160</v>
      </c>
      <c r="AA104" s="212" t="s">
        <v>160</v>
      </c>
      <c r="AB104" s="237" t="s">
        <v>160</v>
      </c>
      <c r="AC104" s="92"/>
      <c r="AD104" s="175"/>
      <c r="AE104" s="175"/>
      <c r="AF104" s="175"/>
      <c r="AG104" s="175"/>
      <c r="AH104" s="175"/>
      <c r="AI104" s="230"/>
      <c r="AJ104" s="225" t="e">
        <f>IF(AR103&gt;=3,AP103*AS103,IF(AP103&lt;0,AP103*AS103,0))</f>
        <v>#DIV/0!</v>
      </c>
      <c r="AK104" s="225" t="e">
        <f>IF(AR104&gt;=3,AP104*AS104,IF(AP104&lt;0,AP104*AS104,0))</f>
        <v>#DIV/0!</v>
      </c>
      <c r="AL104" s="225" t="e">
        <f>IF(AR105&gt;=3,AP105*AS105,IF(AP105&lt;0,AP105*AS105,0))</f>
        <v>#DIV/0!</v>
      </c>
      <c r="AM104" s="225" t="e">
        <f>IF(AR106&gt;=3,AP106*AS106,IF(AP106&lt;0,AP106*AS106,0))</f>
        <v>#DIV/0!</v>
      </c>
      <c r="AN104" s="228" t="e">
        <f>IF($AK$81=3,VLOOKUP($AQ$103,$V$72:$AB$222,3),IF($AK$81=4,VLOOKUP($AQ$103,$V$72:$AB$222,4),IF($AK$81=6,VLOOKUP($AQ$103,$V$72:$AB239,6),IF($AK$81=7,VLOOKUP($AQ$103,$V$72:$AB$222,7,999)))))</f>
        <v>#N/A</v>
      </c>
      <c r="AO104" s="256" t="e">
        <f>IF(OR(K36&gt;(K37+0.03),K36&lt;(K37-0.03)),K37,K36)</f>
        <v>#N/A</v>
      </c>
      <c r="AP104" s="253" t="e">
        <f t="shared" si="18"/>
        <v>#N/A</v>
      </c>
      <c r="AQ104" s="258"/>
      <c r="AR104" s="223" t="e">
        <f t="shared" si="19"/>
        <v>#DIV/0!</v>
      </c>
      <c r="AS104" s="223" t="e">
        <f>AI173</f>
        <v>#DIV/0!</v>
      </c>
      <c r="AT104" s="223" t="e">
        <f>IF($AN$103="SEE SPEC.","SEE SPEC.",IF(AND($AK$82=1,$AN$103&gt;=0),0,$AN$103))</f>
        <v>#N/A</v>
      </c>
      <c r="AU104" s="225" t="e">
        <f t="shared" si="21"/>
        <v>#N/A</v>
      </c>
      <c r="AV104" s="223" t="e">
        <f t="shared" si="20"/>
        <v>#DIV/0!</v>
      </c>
      <c r="AW104" s="225" t="e">
        <f>IF(AT104="SEE SPEC.","SEE SPEC.",IF($AK$80=3,AK105,IF($AK$80=2,AK104,IF($AK$80=1,AK103))))</f>
        <v>#N/A</v>
      </c>
      <c r="AX104" s="231" t="e">
        <f>E111*F111</f>
        <v>#N/A</v>
      </c>
      <c r="AY104" s="91" t="e">
        <f>SUM($AS$87:AS104)</f>
        <v>#DIV/0!</v>
      </c>
      <c r="BB104" s="618">
        <v>92.6999999999995</v>
      </c>
      <c r="BC104" s="619">
        <v>1.02</v>
      </c>
      <c r="BD104" s="619">
        <v>1.02</v>
      </c>
      <c r="BE104" s="618">
        <v>92.6999999999995</v>
      </c>
      <c r="BF104" s="619">
        <v>1.02</v>
      </c>
      <c r="BG104" s="619">
        <v>1.02</v>
      </c>
      <c r="BH104" s="623">
        <f t="shared" si="17"/>
        <v>1.02</v>
      </c>
      <c r="BI104" s="623">
        <f t="shared" si="22"/>
        <v>1.02</v>
      </c>
    </row>
    <row r="105" spans="3:61" ht="13.5" hidden="1" thickBot="1">
      <c r="C105" s="1" t="e">
        <f t="shared" si="23"/>
        <v>#N/A</v>
      </c>
      <c r="D105" s="536" t="e">
        <f t="shared" si="24"/>
        <v>#N/A</v>
      </c>
      <c r="E105" s="65"/>
      <c r="F105" s="65"/>
      <c r="G105" s="65"/>
      <c r="V105" s="185">
        <v>86.00000000000006</v>
      </c>
      <c r="W105" s="212" t="s">
        <v>160</v>
      </c>
      <c r="X105" s="212" t="s">
        <v>160</v>
      </c>
      <c r="Y105" s="212" t="s">
        <v>160</v>
      </c>
      <c r="Z105" s="212" t="s">
        <v>160</v>
      </c>
      <c r="AA105" s="212" t="s">
        <v>160</v>
      </c>
      <c r="AB105" s="237" t="s">
        <v>160</v>
      </c>
      <c r="AC105" s="92"/>
      <c r="AD105" s="175"/>
      <c r="AE105" s="175"/>
      <c r="AF105" s="175"/>
      <c r="AG105" s="175"/>
      <c r="AH105" s="175"/>
      <c r="AI105" s="230"/>
      <c r="AJ105" s="225" t="e">
        <f>IF(AR103&gt;=3.5,AP103*AS103,IF(AP103&lt;0,AP103*AS103,0))</f>
        <v>#DIV/0!</v>
      </c>
      <c r="AK105" s="225" t="e">
        <f>IF(AR104&gt;=3.5,AP104*AS104,IF(AP104&lt;0,AP104*AS104,0))</f>
        <v>#DIV/0!</v>
      </c>
      <c r="AL105" s="225" t="e">
        <f>IF(AR105&gt;=3.5,AP105*AS105,IF(AP105&lt;0,AP105*AS105,0))</f>
        <v>#DIV/0!</v>
      </c>
      <c r="AM105" s="225" t="e">
        <f>IF(AR106&gt;=3.5,AP106*AS106,IF(AP106&lt;0,AP106*AS106,0))</f>
        <v>#DIV/0!</v>
      </c>
      <c r="AN105" s="228" t="e">
        <f>IF($AK$81=3,VLOOKUP($AQ$103,$V$72:$AB$222,3),IF($AK$81=4,VLOOKUP($AQ$103,$V$72:$AB$222,4),IF($AK$81=6,VLOOKUP($AQ$103,$V$72:$AB240,6),IF($AK$81=7,VLOOKUP($AQ$103,$V$72:$AB$222,7,999)))))</f>
        <v>#N/A</v>
      </c>
      <c r="AO105" s="256"/>
      <c r="AP105" s="253" t="e">
        <f t="shared" si="18"/>
        <v>#N/A</v>
      </c>
      <c r="AQ105" s="258"/>
      <c r="AR105" s="223" t="e">
        <f t="shared" si="19"/>
        <v>#DIV/0!</v>
      </c>
      <c r="AS105" s="223" t="e">
        <f>AI174</f>
        <v>#DIV/0!</v>
      </c>
      <c r="AT105" s="223" t="e">
        <f>IF($AN$103="SEE SPEC.","SEE SPEC.",IF(AND($AK$82=1,$AN$103&gt;=0),0,$AN$103))</f>
        <v>#N/A</v>
      </c>
      <c r="AU105" s="225" t="e">
        <f t="shared" si="21"/>
        <v>#N/A</v>
      </c>
      <c r="AV105" s="223" t="e">
        <f t="shared" si="20"/>
        <v>#DIV/0!</v>
      </c>
      <c r="AW105" s="225" t="e">
        <f>IF(AT105="SEE SPEC.","SEE SPEC.",IF($AK$80=3,AL105,IF($AK$80=2,AL104,IF($AK$80=1,AL103))))</f>
        <v>#N/A</v>
      </c>
      <c r="AX105" s="231" t="e">
        <f>$AX$104</f>
        <v>#N/A</v>
      </c>
      <c r="AY105" s="91" t="e">
        <f>SUM($AS$87:AS105)</f>
        <v>#DIV/0!</v>
      </c>
      <c r="BB105" s="618">
        <v>92.7999999999995</v>
      </c>
      <c r="BC105" s="619">
        <v>1.02</v>
      </c>
      <c r="BD105" s="619">
        <v>1.02</v>
      </c>
      <c r="BE105" s="618">
        <v>92.7999999999995</v>
      </c>
      <c r="BF105" s="619">
        <v>1.02</v>
      </c>
      <c r="BG105" s="619">
        <v>1.02</v>
      </c>
      <c r="BH105" s="623">
        <f t="shared" si="17"/>
        <v>1.02</v>
      </c>
      <c r="BI105" s="623">
        <f t="shared" si="22"/>
        <v>1.02</v>
      </c>
    </row>
    <row r="106" spans="2:61" ht="13.5" hidden="1" thickBot="1">
      <c r="B106" s="1" t="e">
        <f>A31</f>
        <v>#N/A</v>
      </c>
      <c r="C106" s="690" t="e">
        <f t="shared" si="23"/>
        <v>#N/A</v>
      </c>
      <c r="D106" s="536" t="e">
        <f t="shared" si="24"/>
        <v>#N/A</v>
      </c>
      <c r="E106" s="65" t="e">
        <f>IF(INT($O$44)=B106,$T$44,1)</f>
        <v>#N/A</v>
      </c>
      <c r="F106" s="65" t="e">
        <f>IF(INT($O$49)=B106,$T$49,1)</f>
        <v>#N/A</v>
      </c>
      <c r="G106" s="65" t="e">
        <f>IF(D106="","",D106*E106*F106)</f>
        <v>#N/A</v>
      </c>
      <c r="V106" s="185">
        <v>86.10000000000005</v>
      </c>
      <c r="W106" s="212" t="s">
        <v>160</v>
      </c>
      <c r="X106" s="212" t="s">
        <v>160</v>
      </c>
      <c r="Y106" s="212" t="s">
        <v>160</v>
      </c>
      <c r="Z106" s="212" t="s">
        <v>160</v>
      </c>
      <c r="AA106" s="212" t="s">
        <v>160</v>
      </c>
      <c r="AB106" s="237" t="s">
        <v>160</v>
      </c>
      <c r="AC106" s="92"/>
      <c r="AD106" s="175"/>
      <c r="AE106" s="175"/>
      <c r="AF106" s="175"/>
      <c r="AG106" s="175"/>
      <c r="AH106" s="175"/>
      <c r="AI106" s="259"/>
      <c r="AJ106" s="260"/>
      <c r="AK106" s="260"/>
      <c r="AL106" s="260"/>
      <c r="AM106" s="260"/>
      <c r="AN106" s="233"/>
      <c r="AO106" s="261"/>
      <c r="AP106" s="253" t="e">
        <f t="shared" si="18"/>
        <v>#N/A</v>
      </c>
      <c r="AQ106" s="263"/>
      <c r="AR106" s="233" t="e">
        <f t="shared" si="19"/>
        <v>#DIV/0!</v>
      </c>
      <c r="AS106" s="233" t="e">
        <f>AI175</f>
        <v>#DIV/0!</v>
      </c>
      <c r="AT106" s="233" t="e">
        <f>IF($AN$103="SEE SPEC.","SEE SPEC.",IF(AND($AK$82=1,$AN$103&gt;=0),0,$AN$103))</f>
        <v>#N/A</v>
      </c>
      <c r="AU106" s="260" t="e">
        <f t="shared" si="21"/>
        <v>#N/A</v>
      </c>
      <c r="AV106" s="233" t="e">
        <f t="shared" si="20"/>
        <v>#DIV/0!</v>
      </c>
      <c r="AW106" s="260" t="e">
        <f>IF(AT106="SEE SPEC.","SEE SPEC.",IF($AK$80=3,AM105,IF($AK$80=2,AM104,IF($AK$80=1,AM103))))</f>
        <v>#N/A</v>
      </c>
      <c r="AX106" s="231" t="e">
        <f>$AX$104</f>
        <v>#N/A</v>
      </c>
      <c r="AY106" s="91" t="e">
        <f>SUM($AS$87:AS106)</f>
        <v>#DIV/0!</v>
      </c>
      <c r="BB106" s="618">
        <v>92.8999999999995</v>
      </c>
      <c r="BC106" s="619">
        <v>1.02</v>
      </c>
      <c r="BD106" s="619">
        <v>1.02</v>
      </c>
      <c r="BE106" s="618">
        <v>92.8999999999995</v>
      </c>
      <c r="BF106" s="619">
        <v>1.02</v>
      </c>
      <c r="BG106" s="619">
        <v>1.02</v>
      </c>
      <c r="BH106" s="623">
        <f t="shared" si="17"/>
        <v>1.02</v>
      </c>
      <c r="BI106" s="623">
        <f t="shared" si="22"/>
        <v>1.02</v>
      </c>
    </row>
    <row r="107" spans="3:61" ht="13.5" hidden="1" thickBot="1">
      <c r="C107" s="1" t="e">
        <f t="shared" si="23"/>
        <v>#N/A</v>
      </c>
      <c r="D107" s="536" t="e">
        <f t="shared" si="24"/>
        <v>#N/A</v>
      </c>
      <c r="E107" s="65" t="e">
        <f>IF(INT($O$44)=B106,$T$44,1)</f>
        <v>#N/A</v>
      </c>
      <c r="F107" s="65" t="e">
        <f>IF(INT($O$49)=B106,$T$49,1)</f>
        <v>#N/A</v>
      </c>
      <c r="G107" s="65" t="e">
        <f>IF(D107="","",D107*E107*F107)</f>
        <v>#N/A</v>
      </c>
      <c r="V107" s="185">
        <v>86.2</v>
      </c>
      <c r="W107" s="212" t="s">
        <v>160</v>
      </c>
      <c r="X107" s="212" t="s">
        <v>160</v>
      </c>
      <c r="Y107" s="212" t="s">
        <v>160</v>
      </c>
      <c r="Z107" s="212" t="s">
        <v>160</v>
      </c>
      <c r="AA107" s="212" t="s">
        <v>160</v>
      </c>
      <c r="AB107" s="237" t="s">
        <v>160</v>
      </c>
      <c r="AC107" s="92"/>
      <c r="AD107" s="175"/>
      <c r="AE107" s="175"/>
      <c r="AF107" s="175"/>
      <c r="AG107" s="175"/>
      <c r="AH107" s="175"/>
      <c r="AI107" s="230">
        <v>6</v>
      </c>
      <c r="AJ107" s="225" t="e">
        <f>IF(AR107&gt;=2.5,AP107*AS107,IF(AP107&lt;0,AP107*AS107,0))</f>
        <v>#DIV/0!</v>
      </c>
      <c r="AK107" s="225" t="e">
        <f>IF(AR108&gt;=2.5,AP108*AS108,IF(AP108&lt;0,AP108*AS108,0))</f>
        <v>#DIV/0!</v>
      </c>
      <c r="AL107" s="225" t="e">
        <f>IF(AR109&gt;=2.5,AP109*AS109,IF(AP109&lt;0,AP109*AS109,0))</f>
        <v>#DIV/0!</v>
      </c>
      <c r="AM107" s="225" t="e">
        <f>IF(AR110&gt;=2.5,AP110*AS110,IF(AP110&lt;0,AP110*AS110,0))</f>
        <v>#DIV/0!</v>
      </c>
      <c r="AN107" s="228" t="e">
        <f>IF($AK$81=3,VLOOKUP($AQ$107,$V$72:$AB$222,3),IF($AK$81=4,VLOOKUP($AQ$107,$V$72:$AB$222,4),IF($AK$81=6,VLOOKUP($AQ$107,$V$72:$AB242,6),IF($AK$81=7,VLOOKUP($AQ$107,$V$72:$AB$222,7,999)))))</f>
        <v>#N/A</v>
      </c>
      <c r="AO107" s="256" t="e">
        <f>IF(OR(K39&gt;(K41+0.03),K39&lt;(K41-0.03)),K41,K39)</f>
        <v>#N/A</v>
      </c>
      <c r="AP107" s="253" t="e">
        <f t="shared" si="18"/>
        <v>#N/A</v>
      </c>
      <c r="AQ107" s="258" t="e">
        <f>M39</f>
        <v>#N/A</v>
      </c>
      <c r="AR107" s="223" t="e">
        <f t="shared" si="19"/>
        <v>#DIV/0!</v>
      </c>
      <c r="AS107" s="223" t="e">
        <f>AJ172</f>
        <v>#DIV/0!</v>
      </c>
      <c r="AT107" s="223" t="e">
        <f>IF($AN$107="SEE SPEC.","SEE SPEC.",IF(AND($AK$82=1,$AN$107&gt;=0),0,$AN$107))</f>
        <v>#N/A</v>
      </c>
      <c r="AU107" s="225" t="e">
        <f t="shared" si="21"/>
        <v>#N/A</v>
      </c>
      <c r="AV107" s="223" t="e">
        <f t="shared" si="20"/>
        <v>#DIV/0!</v>
      </c>
      <c r="AW107" s="225" t="e">
        <f>IF(AT107="SEE SPEC.","SEE SPEC.",IF($AK$80=3,AJ109,IF($AK$80=2,AJ108,IF($AK$80=1,AJ107))))</f>
        <v>#N/A</v>
      </c>
      <c r="AX107" s="231" t="e">
        <f>E114*F114</f>
        <v>#N/A</v>
      </c>
      <c r="AY107" s="91" t="e">
        <f>SUM($AS$87:AS107)</f>
        <v>#DIV/0!</v>
      </c>
      <c r="BB107" s="618">
        <v>92.99999999999949</v>
      </c>
      <c r="BC107" s="619">
        <v>1.02</v>
      </c>
      <c r="BD107" s="619">
        <v>1.02</v>
      </c>
      <c r="BE107" s="618">
        <v>92.99999999999949</v>
      </c>
      <c r="BF107" s="619">
        <v>1.02</v>
      </c>
      <c r="BG107" s="619">
        <v>1.02</v>
      </c>
      <c r="BH107" s="623">
        <f t="shared" si="17"/>
        <v>1.02</v>
      </c>
      <c r="BI107" s="623">
        <f t="shared" si="22"/>
        <v>1.02</v>
      </c>
    </row>
    <row r="108" spans="3:61" ht="13.5" hidden="1" thickBot="1">
      <c r="C108" s="1" t="e">
        <f t="shared" si="23"/>
        <v>#N/A</v>
      </c>
      <c r="D108" s="536" t="e">
        <f t="shared" si="24"/>
        <v>#N/A</v>
      </c>
      <c r="E108" s="65"/>
      <c r="F108" s="65"/>
      <c r="G108" s="65"/>
      <c r="V108" s="185">
        <v>86.3</v>
      </c>
      <c r="W108" s="212" t="s">
        <v>160</v>
      </c>
      <c r="X108" s="212" t="s">
        <v>160</v>
      </c>
      <c r="Y108" s="212" t="s">
        <v>160</v>
      </c>
      <c r="Z108" s="212" t="s">
        <v>160</v>
      </c>
      <c r="AA108" s="212" t="s">
        <v>160</v>
      </c>
      <c r="AB108" s="237" t="s">
        <v>160</v>
      </c>
      <c r="AC108" s="92"/>
      <c r="AD108" s="175"/>
      <c r="AE108" s="175"/>
      <c r="AF108" s="175"/>
      <c r="AG108" s="175"/>
      <c r="AH108" s="175"/>
      <c r="AI108" s="230"/>
      <c r="AJ108" s="225" t="e">
        <f>IF(AR107&gt;=3,AP107*AS107,IF(AP107&lt;0,AP107*AS107,0))</f>
        <v>#DIV/0!</v>
      </c>
      <c r="AK108" s="225" t="e">
        <f>IF(AR108&gt;=3,AP108*AS108,IF(AP108&lt;0,AP108*AS108,0))</f>
        <v>#DIV/0!</v>
      </c>
      <c r="AL108" s="225" t="e">
        <f>IF(AR109&gt;=3,AP109*AS109,IF(AP109&lt;0,AP109*AS109,0))</f>
        <v>#DIV/0!</v>
      </c>
      <c r="AM108" s="225" t="e">
        <f>IF(AR110&gt;=3,AP110*AS110,IF(AP110&lt;0,AP110*AS110,0))</f>
        <v>#DIV/0!</v>
      </c>
      <c r="AN108" s="228" t="e">
        <f>IF($AK$81=3,VLOOKUP($AQ$107,$V$72:$AB$222,3),IF($AK$81=4,VLOOKUP($AQ$107,$V$72:$AB$222,4),IF($AK$81=6,VLOOKUP($AQ$107,$V$72:$AB243,6),IF($AK$81=7,VLOOKUP($AQ$107,$V$72:$AB$222,7,999)))))</f>
        <v>#N/A</v>
      </c>
      <c r="AO108" s="256" t="e">
        <f>IF(OR(K40&gt;(K41+0.03),K40&lt;(K41-0.03)),K41,K40)</f>
        <v>#N/A</v>
      </c>
      <c r="AP108" s="253" t="e">
        <f t="shared" si="18"/>
        <v>#N/A</v>
      </c>
      <c r="AQ108" s="258"/>
      <c r="AR108" s="223" t="e">
        <f t="shared" si="19"/>
        <v>#DIV/0!</v>
      </c>
      <c r="AS108" s="223" t="e">
        <f>AJ173</f>
        <v>#DIV/0!</v>
      </c>
      <c r="AT108" s="223" t="e">
        <f>IF($AN$107="SEE SPEC.","SEE SPEC.",IF(AND($AK$82=1,$AN$107&gt;=0),0,$AN$107))</f>
        <v>#N/A</v>
      </c>
      <c r="AU108" s="225" t="e">
        <f t="shared" si="21"/>
        <v>#N/A</v>
      </c>
      <c r="AV108" s="223" t="e">
        <f t="shared" si="20"/>
        <v>#DIV/0!</v>
      </c>
      <c r="AW108" s="225" t="e">
        <f>IF(AT108="SEE SPEC.","SEE SPEC.",IF($AK$80=3,AK109,IF($AK$80=2,AK108,IF($AK$80=1,AK107))))</f>
        <v>#N/A</v>
      </c>
      <c r="AX108" s="231" t="e">
        <f>E115*F115</f>
        <v>#N/A</v>
      </c>
      <c r="AY108" s="91" t="e">
        <f>SUM($AS$87:AS108)</f>
        <v>#DIV/0!</v>
      </c>
      <c r="BB108" s="618">
        <v>93.09999999999948</v>
      </c>
      <c r="BC108" s="619">
        <v>1.02</v>
      </c>
      <c r="BD108" s="619">
        <v>1.02</v>
      </c>
      <c r="BE108" s="618">
        <v>93.09999999999948</v>
      </c>
      <c r="BF108" s="619">
        <v>1.02</v>
      </c>
      <c r="BG108" s="619">
        <v>1.02</v>
      </c>
      <c r="BH108" s="623">
        <f t="shared" si="17"/>
        <v>1.02</v>
      </c>
      <c r="BI108" s="623">
        <f t="shared" si="22"/>
        <v>1.02</v>
      </c>
    </row>
    <row r="109" spans="3:61" ht="13.5" hidden="1" thickBot="1">
      <c r="C109" s="1" t="e">
        <f t="shared" si="23"/>
        <v>#N/A</v>
      </c>
      <c r="D109" s="536" t="e">
        <f t="shared" si="24"/>
        <v>#N/A</v>
      </c>
      <c r="E109" s="65"/>
      <c r="F109" s="65"/>
      <c r="G109" s="65"/>
      <c r="V109" s="185">
        <v>86.4</v>
      </c>
      <c r="W109" s="212" t="s">
        <v>160</v>
      </c>
      <c r="X109" s="212" t="s">
        <v>160</v>
      </c>
      <c r="Y109" s="212" t="s">
        <v>160</v>
      </c>
      <c r="Z109" s="212" t="s">
        <v>160</v>
      </c>
      <c r="AA109" s="212" t="s">
        <v>160</v>
      </c>
      <c r="AB109" s="237" t="s">
        <v>160</v>
      </c>
      <c r="AC109" s="92"/>
      <c r="AD109" s="175"/>
      <c r="AE109" s="175"/>
      <c r="AF109" s="175"/>
      <c r="AG109" s="175"/>
      <c r="AH109" s="175"/>
      <c r="AI109" s="230"/>
      <c r="AJ109" s="225" t="e">
        <f>IF(AR107&gt;=3.5,AP107*AS107,IF(AP107&lt;0,AP107*AS107,0))</f>
        <v>#DIV/0!</v>
      </c>
      <c r="AK109" s="225" t="e">
        <f>IF(AR108&gt;=3.5,AP108*AS108,IF(AP108&lt;0,AP108*AS108,0))</f>
        <v>#DIV/0!</v>
      </c>
      <c r="AL109" s="225" t="e">
        <f>IF(AR109&gt;=3.5,AP109*AS109,IF(AP109&lt;0,AP109*AS109,0))</f>
        <v>#DIV/0!</v>
      </c>
      <c r="AM109" s="225" t="e">
        <f>IF(AR110&gt;=3.5,AP110*AS110,IF(AP110&lt;0,AP110*AS110,0))</f>
        <v>#DIV/0!</v>
      </c>
      <c r="AN109" s="228" t="e">
        <f>IF($AK$81=3,VLOOKUP($AQ$107,$V$72:$AB$222,3),IF($AK$81=4,VLOOKUP($AQ$107,$V$72:$AB$222,4),IF($AK$81=6,VLOOKUP($AQ$107,$V$72:$AB244,6),IF($AK$81=7,VLOOKUP($AQ$107,$V$72:$AB$222,7,999)))))</f>
        <v>#N/A</v>
      </c>
      <c r="AO109" s="256"/>
      <c r="AP109" s="253" t="e">
        <f t="shared" si="18"/>
        <v>#N/A</v>
      </c>
      <c r="AQ109" s="258"/>
      <c r="AR109" s="223" t="e">
        <f t="shared" si="19"/>
        <v>#DIV/0!</v>
      </c>
      <c r="AS109" s="223" t="e">
        <f>AJ174</f>
        <v>#DIV/0!</v>
      </c>
      <c r="AT109" s="223" t="e">
        <f>IF($AN$107="SEE SPEC.","SEE SPEC.",IF(AND($AK$82=1,$AN$107&gt;=0),0,$AN$107))</f>
        <v>#N/A</v>
      </c>
      <c r="AU109" s="225" t="e">
        <f t="shared" si="21"/>
        <v>#N/A</v>
      </c>
      <c r="AV109" s="223" t="e">
        <f t="shared" si="20"/>
        <v>#DIV/0!</v>
      </c>
      <c r="AW109" s="225" t="e">
        <f>IF(AT109="SEE SPEC.","SEE SPEC.",IF($AK$80=3,AL109,IF($AK$80=2,AL108,IF($AK$80=1,AL107))))</f>
        <v>#N/A</v>
      </c>
      <c r="AX109" s="231" t="e">
        <f>$AX$108</f>
        <v>#N/A</v>
      </c>
      <c r="AY109" s="91" t="e">
        <f>SUM($AS$87:AS109)</f>
        <v>#DIV/0!</v>
      </c>
      <c r="BB109" s="618">
        <v>93.19999999999948</v>
      </c>
      <c r="BC109" s="619">
        <v>1.02</v>
      </c>
      <c r="BD109" s="619">
        <v>1.02</v>
      </c>
      <c r="BE109" s="618">
        <v>93.19999999999948</v>
      </c>
      <c r="BF109" s="619">
        <v>1.02</v>
      </c>
      <c r="BG109" s="619">
        <v>1.02</v>
      </c>
      <c r="BH109" s="623">
        <f t="shared" si="17"/>
        <v>1.02</v>
      </c>
      <c r="BI109" s="623">
        <f t="shared" si="22"/>
        <v>1.02</v>
      </c>
    </row>
    <row r="110" spans="2:61" ht="13.5" hidden="1" thickBot="1">
      <c r="B110" s="1" t="e">
        <f>A35</f>
        <v>#N/A</v>
      </c>
      <c r="C110" s="690" t="e">
        <f t="shared" si="23"/>
        <v>#N/A</v>
      </c>
      <c r="D110" s="536" t="e">
        <f t="shared" si="24"/>
        <v>#N/A</v>
      </c>
      <c r="E110" s="65" t="e">
        <f>IF(INT($O$44)=B110,$T$44,1)</f>
        <v>#N/A</v>
      </c>
      <c r="F110" s="65" t="e">
        <f>IF(INT($O$49)=B110,$T$49,1)</f>
        <v>#N/A</v>
      </c>
      <c r="G110" s="65" t="e">
        <f>IF(D110="","",D110*E110*F110)</f>
        <v>#N/A</v>
      </c>
      <c r="V110" s="185">
        <v>86.5</v>
      </c>
      <c r="W110" s="212" t="s">
        <v>160</v>
      </c>
      <c r="X110" s="212" t="s">
        <v>160</v>
      </c>
      <c r="Y110" s="212" t="s">
        <v>160</v>
      </c>
      <c r="Z110" s="212" t="s">
        <v>160</v>
      </c>
      <c r="AA110" s="212" t="s">
        <v>160</v>
      </c>
      <c r="AB110" s="237" t="s">
        <v>160</v>
      </c>
      <c r="AC110" s="92"/>
      <c r="AD110" s="175"/>
      <c r="AE110" s="175"/>
      <c r="AF110" s="175"/>
      <c r="AG110" s="175"/>
      <c r="AH110" s="175"/>
      <c r="AI110" s="259"/>
      <c r="AJ110" s="260"/>
      <c r="AK110" s="260"/>
      <c r="AL110" s="260"/>
      <c r="AM110" s="260"/>
      <c r="AN110" s="233"/>
      <c r="AO110" s="261"/>
      <c r="AP110" s="253" t="e">
        <f t="shared" si="18"/>
        <v>#N/A</v>
      </c>
      <c r="AQ110" s="233"/>
      <c r="AR110" s="233" t="e">
        <f t="shared" si="19"/>
        <v>#DIV/0!</v>
      </c>
      <c r="AS110" s="233" t="e">
        <f>AJ175</f>
        <v>#DIV/0!</v>
      </c>
      <c r="AT110" s="233" t="e">
        <f>IF($AN$107="SEE SPEC.","SEE SPEC.",IF(AND($AK$82=1,$AN$107&gt;=0),0,$AN$107))</f>
        <v>#N/A</v>
      </c>
      <c r="AU110" s="260" t="e">
        <f t="shared" si="21"/>
        <v>#N/A</v>
      </c>
      <c r="AV110" s="233" t="e">
        <f t="shared" si="20"/>
        <v>#DIV/0!</v>
      </c>
      <c r="AW110" s="260" t="e">
        <f>IF(AT110="SEE SPEC.","SEE SPEC.",IF($AK$80=3,AM109,IF($AK$80=2,AM108,IF($AK$80=1,AM107))))</f>
        <v>#N/A</v>
      </c>
      <c r="AX110" s="231" t="e">
        <f>$AX$108</f>
        <v>#N/A</v>
      </c>
      <c r="AY110" s="91" t="e">
        <f>SUM($AS$87:AS110)</f>
        <v>#DIV/0!</v>
      </c>
      <c r="BB110" s="618">
        <v>93.29999999999947</v>
      </c>
      <c r="BC110" s="619">
        <v>1.02</v>
      </c>
      <c r="BD110" s="619">
        <v>1.02</v>
      </c>
      <c r="BE110" s="618">
        <v>93.29999999999947</v>
      </c>
      <c r="BF110" s="619">
        <v>1.02</v>
      </c>
      <c r="BG110" s="619">
        <v>1.02</v>
      </c>
      <c r="BH110" s="623">
        <f t="shared" si="17"/>
        <v>1.02</v>
      </c>
      <c r="BI110" s="623">
        <f t="shared" si="22"/>
        <v>1.02</v>
      </c>
    </row>
    <row r="111" spans="3:61" ht="12.75" hidden="1">
      <c r="C111" s="1" t="e">
        <f t="shared" si="23"/>
        <v>#N/A</v>
      </c>
      <c r="D111" s="536" t="e">
        <f t="shared" si="24"/>
        <v>#N/A</v>
      </c>
      <c r="E111" s="65" t="e">
        <f>IF(INT($O$44)=B110,$T$44,1)</f>
        <v>#N/A</v>
      </c>
      <c r="F111" s="65" t="e">
        <f>IF(INT($O$49)=B110,$T$49,1)</f>
        <v>#N/A</v>
      </c>
      <c r="G111" s="65" t="e">
        <f>IF(D111="","",D111*E111*F111)</f>
        <v>#N/A</v>
      </c>
      <c r="V111" s="185">
        <v>86.6</v>
      </c>
      <c r="W111" s="212" t="s">
        <v>160</v>
      </c>
      <c r="X111" s="212" t="s">
        <v>160</v>
      </c>
      <c r="Y111" s="212" t="s">
        <v>160</v>
      </c>
      <c r="Z111" s="212" t="s">
        <v>160</v>
      </c>
      <c r="AA111" s="212" t="s">
        <v>160</v>
      </c>
      <c r="AB111" s="237" t="s">
        <v>160</v>
      </c>
      <c r="AC111" s="92"/>
      <c r="AD111" s="175"/>
      <c r="AE111" s="175"/>
      <c r="AF111" s="92"/>
      <c r="AG111" s="177"/>
      <c r="AH111" s="177"/>
      <c r="AI111" s="177"/>
      <c r="AJ111" s="92"/>
      <c r="AK111" s="210"/>
      <c r="AL111" s="94"/>
      <c r="AM111" s="94"/>
      <c r="AN111" s="94"/>
      <c r="AO111" s="94"/>
      <c r="AP111" s="92"/>
      <c r="AQ111" s="92"/>
      <c r="AR111" s="92"/>
      <c r="AS111" s="92"/>
      <c r="AT111" s="92"/>
      <c r="AU111" s="92"/>
      <c r="AV111" s="92"/>
      <c r="AW111" s="92"/>
      <c r="AX111" s="92"/>
      <c r="AY111" s="92"/>
      <c r="BB111" s="618">
        <v>93.39999999999947</v>
      </c>
      <c r="BC111" s="619">
        <v>1.02</v>
      </c>
      <c r="BD111" s="619">
        <v>1.02</v>
      </c>
      <c r="BE111" s="618">
        <v>93.39999999999947</v>
      </c>
      <c r="BF111" s="619">
        <v>1.02</v>
      </c>
      <c r="BG111" s="619">
        <v>1.02</v>
      </c>
      <c r="BH111" s="623">
        <f t="shared" si="17"/>
        <v>1.02</v>
      </c>
      <c r="BI111" s="623">
        <f t="shared" si="22"/>
        <v>1.02</v>
      </c>
    </row>
    <row r="112" spans="3:61" ht="12.75" hidden="1">
      <c r="C112" s="1" t="e">
        <f t="shared" si="23"/>
        <v>#N/A</v>
      </c>
      <c r="D112" s="536" t="e">
        <f t="shared" si="24"/>
        <v>#N/A</v>
      </c>
      <c r="E112" s="65"/>
      <c r="F112" s="65"/>
      <c r="G112" s="65"/>
      <c r="V112" s="185">
        <v>86.7</v>
      </c>
      <c r="W112" s="212" t="s">
        <v>160</v>
      </c>
      <c r="X112" s="212" t="s">
        <v>160</v>
      </c>
      <c r="Y112" s="212" t="s">
        <v>160</v>
      </c>
      <c r="Z112" s="212" t="s">
        <v>160</v>
      </c>
      <c r="AA112" s="212" t="s">
        <v>160</v>
      </c>
      <c r="AB112" s="237" t="s">
        <v>160</v>
      </c>
      <c r="AC112" s="92"/>
      <c r="AD112" s="85"/>
      <c r="AE112" s="87"/>
      <c r="AF112" s="92"/>
      <c r="AG112" s="92"/>
      <c r="AH112" s="92"/>
      <c r="AI112" s="92"/>
      <c r="AJ112" s="92"/>
      <c r="AK112" s="92"/>
      <c r="AL112" s="94"/>
      <c r="AM112" s="94"/>
      <c r="AN112" s="94"/>
      <c r="AO112" s="94"/>
      <c r="AP112" s="92"/>
      <c r="AQ112" s="92"/>
      <c r="AR112" s="92"/>
      <c r="AS112" s="92"/>
      <c r="AT112" s="92"/>
      <c r="AU112" s="92"/>
      <c r="AV112" s="92"/>
      <c r="AW112" s="92"/>
      <c r="AX112" s="92"/>
      <c r="AY112" s="92"/>
      <c r="BB112" s="618">
        <v>93.49999999999946</v>
      </c>
      <c r="BC112" s="619">
        <v>1.02</v>
      </c>
      <c r="BD112" s="619">
        <v>1.02</v>
      </c>
      <c r="BE112" s="618">
        <v>93.49999999999946</v>
      </c>
      <c r="BF112" s="619">
        <v>1.02</v>
      </c>
      <c r="BG112" s="619">
        <v>1.02</v>
      </c>
      <c r="BH112" s="623">
        <f t="shared" si="17"/>
        <v>1.02</v>
      </c>
      <c r="BI112" s="623">
        <f t="shared" si="22"/>
        <v>1.02</v>
      </c>
    </row>
    <row r="113" spans="3:61" ht="13.5" hidden="1" thickBot="1">
      <c r="C113" s="1" t="e">
        <f t="shared" si="23"/>
        <v>#N/A</v>
      </c>
      <c r="D113" s="536" t="e">
        <f t="shared" si="24"/>
        <v>#N/A</v>
      </c>
      <c r="E113" s="65"/>
      <c r="F113" s="65"/>
      <c r="G113" s="65"/>
      <c r="V113" s="185">
        <v>86.8</v>
      </c>
      <c r="W113" s="212" t="s">
        <v>160</v>
      </c>
      <c r="X113" s="212" t="s">
        <v>160</v>
      </c>
      <c r="Y113" s="212" t="s">
        <v>160</v>
      </c>
      <c r="Z113" s="212" t="s">
        <v>160</v>
      </c>
      <c r="AA113" s="212" t="s">
        <v>160</v>
      </c>
      <c r="AB113" s="237" t="s">
        <v>160</v>
      </c>
      <c r="AC113" s="92"/>
      <c r="AD113" s="85"/>
      <c r="AE113" s="87"/>
      <c r="AF113" s="92"/>
      <c r="AG113" s="92"/>
      <c r="AH113" s="92"/>
      <c r="AI113" s="92"/>
      <c r="AJ113" s="92"/>
      <c r="AK113" s="92"/>
      <c r="AL113" s="94"/>
      <c r="AM113" s="94"/>
      <c r="AN113" s="94"/>
      <c r="AO113" s="94"/>
      <c r="AP113" s="92"/>
      <c r="AQ113" s="92"/>
      <c r="AR113" s="92"/>
      <c r="AS113" s="92"/>
      <c r="AT113" s="92"/>
      <c r="AU113" s="92"/>
      <c r="AV113" s="92"/>
      <c r="AW113" s="92"/>
      <c r="AX113" s="92"/>
      <c r="AY113" s="92"/>
      <c r="BB113" s="618">
        <v>93.59999999999945</v>
      </c>
      <c r="BC113" s="619">
        <v>1.02</v>
      </c>
      <c r="BD113" s="619">
        <v>1.02</v>
      </c>
      <c r="BE113" s="618">
        <v>93.59999999999945</v>
      </c>
      <c r="BF113" s="619">
        <v>1.02</v>
      </c>
      <c r="BG113" s="619">
        <v>1.02</v>
      </c>
      <c r="BH113" s="623">
        <f t="shared" si="17"/>
        <v>1.02</v>
      </c>
      <c r="BI113" s="623">
        <f t="shared" si="22"/>
        <v>1.02</v>
      </c>
    </row>
    <row r="114" spans="2:61" ht="18.75" hidden="1" thickBot="1">
      <c r="B114" s="1" t="e">
        <f>A39</f>
        <v>#N/A</v>
      </c>
      <c r="C114" s="690" t="e">
        <f t="shared" si="23"/>
        <v>#N/A</v>
      </c>
      <c r="D114" s="536" t="e">
        <f t="shared" si="24"/>
        <v>#N/A</v>
      </c>
      <c r="E114" s="65" t="e">
        <f>IF(INT($O$44)=B114,$T$44,1)</f>
        <v>#N/A</v>
      </c>
      <c r="F114" s="65" t="e">
        <f>IF(INT($O$49)=B114,$T$49,1)</f>
        <v>#N/A</v>
      </c>
      <c r="G114" s="65" t="e">
        <f>IF(D114="","",D114*E114*F114)</f>
        <v>#N/A</v>
      </c>
      <c r="V114" s="185">
        <v>86.9</v>
      </c>
      <c r="W114" s="212" t="s">
        <v>160</v>
      </c>
      <c r="X114" s="212" t="s">
        <v>160</v>
      </c>
      <c r="Y114" s="212" t="s">
        <v>160</v>
      </c>
      <c r="Z114" s="212" t="s">
        <v>160</v>
      </c>
      <c r="AA114" s="212" t="s">
        <v>160</v>
      </c>
      <c r="AB114" s="237" t="s">
        <v>160</v>
      </c>
      <c r="AC114" s="92"/>
      <c r="AD114" s="175" t="s">
        <v>122</v>
      </c>
      <c r="AE114" s="203" t="s">
        <v>116</v>
      </c>
      <c r="AF114" s="204" t="s">
        <v>117</v>
      </c>
      <c r="AG114" s="204" t="s">
        <v>118</v>
      </c>
      <c r="AH114" s="204" t="s">
        <v>119</v>
      </c>
      <c r="AI114" s="204" t="s">
        <v>120</v>
      </c>
      <c r="AJ114" s="205" t="s">
        <v>121</v>
      </c>
      <c r="AK114" s="92"/>
      <c r="AL114" s="15" t="s">
        <v>0</v>
      </c>
      <c r="AM114" s="214"/>
      <c r="AN114" s="214"/>
      <c r="AO114" s="94"/>
      <c r="AP114" s="92"/>
      <c r="AQ114" s="92"/>
      <c r="AR114" s="92"/>
      <c r="AS114" s="92"/>
      <c r="AT114" s="92"/>
      <c r="AU114" s="92"/>
      <c r="AV114" s="92"/>
      <c r="AW114" s="92"/>
      <c r="AX114" s="92"/>
      <c r="AY114" s="92"/>
      <c r="BB114" s="618">
        <v>93.69999999999945</v>
      </c>
      <c r="BC114" s="619">
        <v>1.02</v>
      </c>
      <c r="BD114" s="619">
        <v>1.02</v>
      </c>
      <c r="BE114" s="618">
        <v>93.69999999999945</v>
      </c>
      <c r="BF114" s="619">
        <v>1.02</v>
      </c>
      <c r="BG114" s="619">
        <v>1.02</v>
      </c>
      <c r="BH114" s="623">
        <f t="shared" si="17"/>
        <v>1.02</v>
      </c>
      <c r="BI114" s="623">
        <f t="shared" si="22"/>
        <v>1.02</v>
      </c>
    </row>
    <row r="115" spans="3:61" ht="12.75" hidden="1">
      <c r="C115" s="1" t="e">
        <f t="shared" si="23"/>
        <v>#N/A</v>
      </c>
      <c r="D115" s="536" t="e">
        <f t="shared" si="24"/>
        <v>#N/A</v>
      </c>
      <c r="E115" s="65" t="e">
        <f>IF(INT($O$44)=B114,$T$44,1)</f>
        <v>#N/A</v>
      </c>
      <c r="F115" s="65" t="e">
        <f>IF(INT($O$49)=B114,$T$49,1)</f>
        <v>#N/A</v>
      </c>
      <c r="G115" s="65" t="e">
        <f>IF(D115="","",D115*E115*F115)</f>
        <v>#N/A</v>
      </c>
      <c r="V115" s="182">
        <v>87</v>
      </c>
      <c r="W115" s="235" t="s">
        <v>160</v>
      </c>
      <c r="X115" s="235" t="s">
        <v>160</v>
      </c>
      <c r="Y115" s="235" t="s">
        <v>160</v>
      </c>
      <c r="Z115" s="235" t="s">
        <v>160</v>
      </c>
      <c r="AA115" s="235" t="s">
        <v>160</v>
      </c>
      <c r="AB115" s="236" t="s">
        <v>160</v>
      </c>
      <c r="AC115" s="92"/>
      <c r="AD115" s="199" t="s">
        <v>123</v>
      </c>
      <c r="AE115" s="206"/>
      <c r="AF115" s="201"/>
      <c r="AG115" s="201"/>
      <c r="AH115" s="201"/>
      <c r="AI115" s="201"/>
      <c r="AJ115" s="207"/>
      <c r="AK115" s="92"/>
      <c r="AL115" s="15" t="s">
        <v>1</v>
      </c>
      <c r="AM115" s="15"/>
      <c r="AN115" s="15"/>
      <c r="AO115" s="89"/>
      <c r="AP115" s="92"/>
      <c r="AQ115" s="92"/>
      <c r="AR115" s="92"/>
      <c r="AS115" s="92"/>
      <c r="AT115" s="92"/>
      <c r="AU115" s="92"/>
      <c r="AV115" s="92"/>
      <c r="AW115" s="92"/>
      <c r="AX115" s="92"/>
      <c r="AY115" s="92"/>
      <c r="BB115" s="618">
        <v>93.79999999999944</v>
      </c>
      <c r="BC115" s="619">
        <v>1.02</v>
      </c>
      <c r="BD115" s="619">
        <v>1.02</v>
      </c>
      <c r="BE115" s="618">
        <v>93.79999999999944</v>
      </c>
      <c r="BF115" s="619">
        <v>1.02</v>
      </c>
      <c r="BG115" s="619">
        <v>1.02</v>
      </c>
      <c r="BH115" s="623">
        <f t="shared" si="17"/>
        <v>1.02</v>
      </c>
      <c r="BI115" s="623">
        <f t="shared" si="22"/>
        <v>1.02</v>
      </c>
    </row>
    <row r="116" spans="3:61" ht="12.75" hidden="1">
      <c r="C116" s="1" t="e">
        <f t="shared" si="23"/>
        <v>#N/A</v>
      </c>
      <c r="D116" s="536" t="e">
        <f t="shared" si="24"/>
        <v>#N/A</v>
      </c>
      <c r="E116" s="65"/>
      <c r="F116" s="65"/>
      <c r="G116" s="65"/>
      <c r="V116" s="185">
        <v>87.1</v>
      </c>
      <c r="W116" s="212" t="s">
        <v>160</v>
      </c>
      <c r="X116" s="212" t="s">
        <v>160</v>
      </c>
      <c r="Y116" s="212" t="s">
        <v>160</v>
      </c>
      <c r="Z116" s="212" t="s">
        <v>160</v>
      </c>
      <c r="AA116" s="212" t="s">
        <v>160</v>
      </c>
      <c r="AB116" s="237" t="s">
        <v>160</v>
      </c>
      <c r="AC116" s="92"/>
      <c r="AD116" s="196" t="s">
        <v>124</v>
      </c>
      <c r="AE116" s="208" t="e">
        <f>V11</f>
        <v>#N/A</v>
      </c>
      <c r="AF116" s="202" t="e">
        <f>V11*2</f>
        <v>#N/A</v>
      </c>
      <c r="AG116" s="202" t="e">
        <f>V11*3</f>
        <v>#N/A</v>
      </c>
      <c r="AH116" s="202" t="e">
        <f>V11*4</f>
        <v>#N/A</v>
      </c>
      <c r="AI116" s="202" t="e">
        <f>V11*5</f>
        <v>#N/A</v>
      </c>
      <c r="AJ116" s="209" t="e">
        <f>V11*6</f>
        <v>#N/A</v>
      </c>
      <c r="AK116" s="92"/>
      <c r="AL116" s="175" t="s">
        <v>4</v>
      </c>
      <c r="AM116" s="15"/>
      <c r="AN116" s="15"/>
      <c r="AO116" s="92"/>
      <c r="AP116" s="92"/>
      <c r="AQ116" s="92"/>
      <c r="AR116" s="92"/>
      <c r="AS116" s="92"/>
      <c r="AT116" s="92"/>
      <c r="AU116" s="92"/>
      <c r="AV116" s="92"/>
      <c r="AW116" s="92"/>
      <c r="AX116" s="92"/>
      <c r="AY116" s="92"/>
      <c r="BB116" s="618">
        <v>93.89999999999944</v>
      </c>
      <c r="BC116" s="619">
        <v>1.02</v>
      </c>
      <c r="BD116" s="619">
        <v>1.02</v>
      </c>
      <c r="BE116" s="618">
        <v>93.89999999999944</v>
      </c>
      <c r="BF116" s="619">
        <v>1.02</v>
      </c>
      <c r="BG116" s="619">
        <v>1.02</v>
      </c>
      <c r="BH116" s="623">
        <f t="shared" si="17"/>
        <v>1.02</v>
      </c>
      <c r="BI116" s="623">
        <f t="shared" si="22"/>
        <v>1.02</v>
      </c>
    </row>
    <row r="117" spans="3:61" ht="12.75" hidden="1">
      <c r="C117" s="1" t="e">
        <f t="shared" si="23"/>
        <v>#N/A</v>
      </c>
      <c r="D117" s="536">
        <f t="shared" si="24"/>
      </c>
      <c r="E117" s="65"/>
      <c r="F117" s="65"/>
      <c r="G117" s="65"/>
      <c r="V117" s="185">
        <v>87.2</v>
      </c>
      <c r="W117" s="212" t="s">
        <v>160</v>
      </c>
      <c r="X117" s="212" t="s">
        <v>160</v>
      </c>
      <c r="Y117" s="212" t="s">
        <v>160</v>
      </c>
      <c r="Z117" s="212" t="s">
        <v>160</v>
      </c>
      <c r="AA117" s="212" t="s">
        <v>160</v>
      </c>
      <c r="AB117" s="237" t="s">
        <v>160</v>
      </c>
      <c r="AC117" s="92"/>
      <c r="AD117" s="197" t="e">
        <f>D10*$R$10</f>
        <v>#DIV/0!</v>
      </c>
      <c r="AE117" s="144" t="e">
        <f>IF(AD117&lt;=$AE$116,AD117,"")</f>
        <v>#DIV/0!</v>
      </c>
      <c r="AF117" s="134" t="e">
        <f>IF(AND(AD117&lt;=$AF$116,AD117&gt;=$AE$116),AD117,"")</f>
        <v>#DIV/0!</v>
      </c>
      <c r="AG117" s="134" t="e">
        <f>IF(AND(AD117&lt;=$AG$116,AD117&gt;=$AF$116),AD117,"")</f>
        <v>#DIV/0!</v>
      </c>
      <c r="AH117" s="134" t="e">
        <f aca="true" t="shared" si="25" ref="AH117:AH124">IF(AND(AD117&lt;=$AH$116,AD117&gt;=$AG$116),AD117,"")</f>
        <v>#DIV/0!</v>
      </c>
      <c r="AI117" s="134" t="e">
        <f aca="true" t="shared" si="26" ref="AI117:AI124">IF(AND(AD117&lt;=$AI$116,AD117&gt;=$AH$116),AD117,"")</f>
        <v>#DIV/0!</v>
      </c>
      <c r="AJ117" s="145" t="e">
        <f aca="true" t="shared" si="27" ref="AJ117:AJ124">IF(AND(AD117&lt;=$AJ$116,AD117&gt;=$AI$116),AD117,"")</f>
        <v>#DIV/0!</v>
      </c>
      <c r="AK117" s="92"/>
      <c r="AL117" s="28" t="e">
        <f>IF(AG90=1,VLOOKUP(V7,$AD$94:$AE$101,2),IF(AG90=2,VLOOKUP(V7,$AF$94:$AG$101,2)))</f>
        <v>#N/A</v>
      </c>
      <c r="AM117" s="15"/>
      <c r="AN117" s="15"/>
      <c r="AO117" s="92"/>
      <c r="AP117" s="92"/>
      <c r="AQ117" s="92"/>
      <c r="AR117" s="92"/>
      <c r="AS117" s="92"/>
      <c r="AT117" s="92"/>
      <c r="AU117" s="92"/>
      <c r="AV117" s="92"/>
      <c r="AW117" s="92"/>
      <c r="AX117" s="92"/>
      <c r="AY117" s="92"/>
      <c r="BB117" s="618">
        <v>93.99999999999943</v>
      </c>
      <c r="BC117" s="619">
        <v>1.02</v>
      </c>
      <c r="BD117" s="619">
        <v>1.02</v>
      </c>
      <c r="BE117" s="618">
        <v>93.99999999999943</v>
      </c>
      <c r="BF117" s="619">
        <v>1.02</v>
      </c>
      <c r="BG117" s="619">
        <v>1.02</v>
      </c>
      <c r="BH117" s="623">
        <f t="shared" si="17"/>
        <v>1.02</v>
      </c>
      <c r="BI117" s="623">
        <f t="shared" si="22"/>
        <v>1.02</v>
      </c>
    </row>
    <row r="118" spans="3:61" ht="12.75" hidden="1">
      <c r="C118" s="690"/>
      <c r="V118" s="185">
        <v>87.3</v>
      </c>
      <c r="W118" s="212" t="s">
        <v>160</v>
      </c>
      <c r="X118" s="212" t="s">
        <v>160</v>
      </c>
      <c r="Y118" s="212" t="s">
        <v>160</v>
      </c>
      <c r="Z118" s="212" t="s">
        <v>160</v>
      </c>
      <c r="AA118" s="212" t="s">
        <v>160</v>
      </c>
      <c r="AB118" s="237" t="s">
        <v>160</v>
      </c>
      <c r="AC118" s="92"/>
      <c r="AD118" s="39" t="e">
        <f>F9*R10</f>
        <v>#DIV/0!</v>
      </c>
      <c r="AE118" s="144" t="e">
        <f>IF(AD118&lt;=$AE$116,AD118,"")</f>
        <v>#DIV/0!</v>
      </c>
      <c r="AF118" s="134" t="e">
        <f aca="true" t="shared" si="28" ref="AE118:AF124">IF(AND(AD118&lt;=$AF$116,AD118&gt;=$AE$116),AD118,"")</f>
        <v>#DIV/0!</v>
      </c>
      <c r="AG118" s="134" t="e">
        <f aca="true" t="shared" si="29" ref="AG118:AG124">IF(AND(AD118&lt;=$AG$116,AD118&gt;=$AF$116),AD118,"")</f>
        <v>#DIV/0!</v>
      </c>
      <c r="AH118" s="134" t="e">
        <f t="shared" si="25"/>
        <v>#DIV/0!</v>
      </c>
      <c r="AI118" s="134" t="e">
        <f t="shared" si="26"/>
        <v>#DIV/0!</v>
      </c>
      <c r="AJ118" s="145" t="e">
        <f t="shared" si="27"/>
        <v>#DIV/0!</v>
      </c>
      <c r="AK118" s="92"/>
      <c r="AL118" s="179" t="s">
        <v>6</v>
      </c>
      <c r="AM118" s="28" t="s">
        <v>182</v>
      </c>
      <c r="AN118" s="175"/>
      <c r="AO118" s="92"/>
      <c r="AP118" s="92"/>
      <c r="AQ118" s="92"/>
      <c r="AR118" s="92"/>
      <c r="AS118" s="92"/>
      <c r="AT118" s="92"/>
      <c r="AU118" s="92"/>
      <c r="AV118" s="92"/>
      <c r="AW118" s="92"/>
      <c r="AX118" s="92"/>
      <c r="AY118" s="92"/>
      <c r="BB118" s="618">
        <v>94.09999999999943</v>
      </c>
      <c r="BC118" s="619">
        <v>1.02</v>
      </c>
      <c r="BD118" s="619">
        <v>1.02</v>
      </c>
      <c r="BE118" s="618">
        <v>94.09999999999943</v>
      </c>
      <c r="BF118" s="619">
        <v>1.02</v>
      </c>
      <c r="BG118" s="619">
        <v>1.02</v>
      </c>
      <c r="BH118" s="623">
        <f t="shared" si="17"/>
        <v>1.02</v>
      </c>
      <c r="BI118" s="623">
        <f t="shared" si="22"/>
        <v>1.02</v>
      </c>
    </row>
    <row r="119" spans="22:61" ht="12.75" hidden="1">
      <c r="V119" s="185">
        <v>87.4</v>
      </c>
      <c r="W119" s="212" t="s">
        <v>160</v>
      </c>
      <c r="X119" s="212" t="s">
        <v>160</v>
      </c>
      <c r="Y119" s="212" t="s">
        <v>160</v>
      </c>
      <c r="Z119" s="212" t="s">
        <v>160</v>
      </c>
      <c r="AA119" s="212" t="s">
        <v>160</v>
      </c>
      <c r="AB119" s="237" t="s">
        <v>160</v>
      </c>
      <c r="AC119" s="92"/>
      <c r="AD119" s="197" t="e">
        <f>G9*R10</f>
        <v>#DIV/0!</v>
      </c>
      <c r="AE119" s="144" t="e">
        <f>IF(AD119&lt;=$AE$116,AD119,"")</f>
        <v>#DIV/0!</v>
      </c>
      <c r="AF119" s="134" t="e">
        <f t="shared" si="28"/>
        <v>#DIV/0!</v>
      </c>
      <c r="AG119" s="134" t="e">
        <f t="shared" si="29"/>
        <v>#DIV/0!</v>
      </c>
      <c r="AH119" s="134" t="e">
        <f t="shared" si="25"/>
        <v>#DIV/0!</v>
      </c>
      <c r="AI119" s="134" t="e">
        <f t="shared" si="26"/>
        <v>#DIV/0!</v>
      </c>
      <c r="AJ119" s="145" t="e">
        <f t="shared" si="27"/>
        <v>#DIV/0!</v>
      </c>
      <c r="AK119" s="92"/>
      <c r="AL119" s="179" t="s">
        <v>65</v>
      </c>
      <c r="AM119" s="28" t="s">
        <v>182</v>
      </c>
      <c r="AN119" s="175"/>
      <c r="AO119" s="92"/>
      <c r="AP119" s="92"/>
      <c r="AQ119" s="92"/>
      <c r="AR119" s="92"/>
      <c r="AS119" s="92"/>
      <c r="AT119" s="92"/>
      <c r="AU119" s="92"/>
      <c r="AV119" s="92"/>
      <c r="AW119" s="92"/>
      <c r="AX119" s="92"/>
      <c r="AY119" s="92"/>
      <c r="BB119" s="618">
        <v>94.19999999999942</v>
      </c>
      <c r="BC119" s="619">
        <v>1.02</v>
      </c>
      <c r="BD119" s="619">
        <v>1.02</v>
      </c>
      <c r="BE119" s="618">
        <v>94.19999999999942</v>
      </c>
      <c r="BF119" s="619">
        <v>1.02</v>
      </c>
      <c r="BG119" s="619">
        <v>1.02</v>
      </c>
      <c r="BH119" s="623">
        <f t="shared" si="17"/>
        <v>1.02</v>
      </c>
      <c r="BI119" s="623">
        <f t="shared" si="22"/>
        <v>1.02</v>
      </c>
    </row>
    <row r="120" spans="22:61" ht="12.75" hidden="1">
      <c r="V120" s="185">
        <v>87.5</v>
      </c>
      <c r="W120" s="212" t="s">
        <v>160</v>
      </c>
      <c r="X120" s="212" t="s">
        <v>160</v>
      </c>
      <c r="Y120" s="212" t="s">
        <v>160</v>
      </c>
      <c r="Z120" s="212" t="s">
        <v>160</v>
      </c>
      <c r="AA120" s="212" t="s">
        <v>160</v>
      </c>
      <c r="AB120" s="237" t="s">
        <v>160</v>
      </c>
      <c r="AC120" s="92"/>
      <c r="AD120" s="197" t="e">
        <f>H9*R10</f>
        <v>#DIV/0!</v>
      </c>
      <c r="AE120" s="144" t="e">
        <f>IF(AD120&lt;=$AE$116,AD120,"")</f>
        <v>#DIV/0!</v>
      </c>
      <c r="AF120" s="134" t="e">
        <f t="shared" si="28"/>
        <v>#DIV/0!</v>
      </c>
      <c r="AG120" s="134" t="e">
        <f t="shared" si="29"/>
        <v>#DIV/0!</v>
      </c>
      <c r="AH120" s="134" t="e">
        <f t="shared" si="25"/>
        <v>#DIV/0!</v>
      </c>
      <c r="AI120" s="134" t="e">
        <f t="shared" si="26"/>
        <v>#DIV/0!</v>
      </c>
      <c r="AJ120" s="145" t="e">
        <f t="shared" si="27"/>
        <v>#DIV/0!</v>
      </c>
      <c r="AK120" s="92"/>
      <c r="AL120" s="179" t="s">
        <v>12</v>
      </c>
      <c r="AM120" s="28" t="s">
        <v>182</v>
      </c>
      <c r="AN120" s="175"/>
      <c r="AO120" s="92"/>
      <c r="AP120" s="92"/>
      <c r="AQ120" s="92"/>
      <c r="AR120" s="92"/>
      <c r="AS120" s="92"/>
      <c r="AT120" s="92"/>
      <c r="AU120" s="92"/>
      <c r="AV120" s="92"/>
      <c r="AW120" s="92"/>
      <c r="AX120" s="92"/>
      <c r="AY120" s="92"/>
      <c r="BB120" s="618">
        <v>94.29999999999941</v>
      </c>
      <c r="BC120" s="619">
        <v>1.02</v>
      </c>
      <c r="BD120" s="619">
        <v>1.02</v>
      </c>
      <c r="BE120" s="618">
        <v>94.29999999999941</v>
      </c>
      <c r="BF120" s="619">
        <v>1.02</v>
      </c>
      <c r="BG120" s="619">
        <v>1.02</v>
      </c>
      <c r="BH120" s="623">
        <f t="shared" si="17"/>
        <v>1.02</v>
      </c>
      <c r="BI120" s="623">
        <f t="shared" si="22"/>
        <v>1.02</v>
      </c>
    </row>
    <row r="121" spans="22:61" ht="12.75" hidden="1">
      <c r="V121" s="185">
        <v>87.6</v>
      </c>
      <c r="W121" s="212" t="s">
        <v>160</v>
      </c>
      <c r="X121" s="212" t="s">
        <v>160</v>
      </c>
      <c r="Y121" s="212" t="s">
        <v>160</v>
      </c>
      <c r="Z121" s="212" t="s">
        <v>160</v>
      </c>
      <c r="AA121" s="212" t="s">
        <v>160</v>
      </c>
      <c r="AB121" s="237" t="s">
        <v>160</v>
      </c>
      <c r="AC121" s="92"/>
      <c r="AD121" s="39" t="e">
        <f>I9*R10</f>
        <v>#DIV/0!</v>
      </c>
      <c r="AE121" s="134" t="e">
        <f t="shared" si="28"/>
        <v>#N/A</v>
      </c>
      <c r="AF121" s="134" t="e">
        <f t="shared" si="28"/>
        <v>#DIV/0!</v>
      </c>
      <c r="AG121" s="134" t="e">
        <f t="shared" si="29"/>
        <v>#DIV/0!</v>
      </c>
      <c r="AH121" s="134" t="e">
        <f t="shared" si="25"/>
        <v>#DIV/0!</v>
      </c>
      <c r="AI121" s="134" t="e">
        <f t="shared" si="26"/>
        <v>#DIV/0!</v>
      </c>
      <c r="AJ121" s="145" t="e">
        <f t="shared" si="27"/>
        <v>#DIV/0!</v>
      </c>
      <c r="AK121" s="92"/>
      <c r="AL121" s="180" t="s">
        <v>68</v>
      </c>
      <c r="AM121" s="28" t="s">
        <v>182</v>
      </c>
      <c r="AN121" s="175"/>
      <c r="AO121" s="92"/>
      <c r="AP121" s="92"/>
      <c r="AQ121" s="92"/>
      <c r="AR121" s="92"/>
      <c r="AS121" s="92"/>
      <c r="AT121" s="92"/>
      <c r="AU121" s="92"/>
      <c r="AV121" s="92"/>
      <c r="AW121" s="92"/>
      <c r="AX121" s="92"/>
      <c r="AY121" s="92"/>
      <c r="BB121" s="618">
        <v>94.39999999999941</v>
      </c>
      <c r="BC121" s="619">
        <v>1.02</v>
      </c>
      <c r="BD121" s="619">
        <v>1.02</v>
      </c>
      <c r="BE121" s="618">
        <v>94.39999999999941</v>
      </c>
      <c r="BF121" s="619">
        <v>1.02</v>
      </c>
      <c r="BG121" s="619">
        <v>1.02</v>
      </c>
      <c r="BH121" s="623">
        <f t="shared" si="17"/>
        <v>1.02</v>
      </c>
      <c r="BI121" s="623">
        <f t="shared" si="22"/>
        <v>1.02</v>
      </c>
    </row>
    <row r="122" spans="22:61" ht="12.75" hidden="1">
      <c r="V122" s="185">
        <v>87.7</v>
      </c>
      <c r="W122" s="212" t="s">
        <v>160</v>
      </c>
      <c r="X122" s="212" t="s">
        <v>160</v>
      </c>
      <c r="Y122" s="212" t="s">
        <v>160</v>
      </c>
      <c r="Z122" s="212" t="s">
        <v>160</v>
      </c>
      <c r="AA122" s="212" t="s">
        <v>160</v>
      </c>
      <c r="AB122" s="237" t="s">
        <v>160</v>
      </c>
      <c r="AC122" s="92"/>
      <c r="AD122" s="39" t="e">
        <f>J9*R10</f>
        <v>#DIV/0!</v>
      </c>
      <c r="AE122" s="134" t="e">
        <f t="shared" si="28"/>
        <v>#N/A</v>
      </c>
      <c r="AF122" s="134" t="e">
        <f t="shared" si="28"/>
        <v>#DIV/0!</v>
      </c>
      <c r="AG122" s="134" t="e">
        <f t="shared" si="29"/>
        <v>#DIV/0!</v>
      </c>
      <c r="AH122" s="134" t="e">
        <f t="shared" si="25"/>
        <v>#DIV/0!</v>
      </c>
      <c r="AI122" s="134" t="e">
        <f t="shared" si="26"/>
        <v>#DIV/0!</v>
      </c>
      <c r="AJ122" s="145" t="e">
        <f t="shared" si="27"/>
        <v>#DIV/0!</v>
      </c>
      <c r="AK122" s="92"/>
      <c r="AL122" s="181" t="s">
        <v>14</v>
      </c>
      <c r="AM122" s="28" t="s">
        <v>183</v>
      </c>
      <c r="AN122" s="215"/>
      <c r="AO122" s="92"/>
      <c r="AP122" s="92"/>
      <c r="AQ122" s="92"/>
      <c r="AR122" s="92"/>
      <c r="AS122" s="92"/>
      <c r="AT122" s="92"/>
      <c r="AU122" s="92"/>
      <c r="AV122" s="92"/>
      <c r="AW122" s="92"/>
      <c r="AX122" s="92"/>
      <c r="AY122" s="92"/>
      <c r="BB122" s="618">
        <v>94.4999999999994</v>
      </c>
      <c r="BC122" s="619">
        <v>1.02</v>
      </c>
      <c r="BD122" s="619">
        <v>1.02</v>
      </c>
      <c r="BE122" s="618">
        <v>94.4999999999994</v>
      </c>
      <c r="BF122" s="619">
        <v>1.02</v>
      </c>
      <c r="BG122" s="619">
        <v>1.02</v>
      </c>
      <c r="BH122" s="623">
        <f t="shared" si="17"/>
        <v>1.02</v>
      </c>
      <c r="BI122" s="623">
        <f t="shared" si="22"/>
        <v>1.02</v>
      </c>
    </row>
    <row r="123" spans="22:61" ht="12.75" hidden="1">
      <c r="V123" s="185">
        <v>87.8</v>
      </c>
      <c r="W123" s="212" t="s">
        <v>160</v>
      </c>
      <c r="X123" s="212" t="s">
        <v>160</v>
      </c>
      <c r="Y123" s="212" t="s">
        <v>160</v>
      </c>
      <c r="Z123" s="212" t="s">
        <v>160</v>
      </c>
      <c r="AA123" s="212" t="s">
        <v>160</v>
      </c>
      <c r="AB123" s="237" t="s">
        <v>160</v>
      </c>
      <c r="AC123" s="92"/>
      <c r="AD123" s="197" t="e">
        <f>K9*R10</f>
        <v>#DIV/0!</v>
      </c>
      <c r="AE123" s="134" t="e">
        <f t="shared" si="28"/>
        <v>#N/A</v>
      </c>
      <c r="AF123" s="134" t="e">
        <f t="shared" si="28"/>
        <v>#DIV/0!</v>
      </c>
      <c r="AG123" s="134" t="e">
        <f t="shared" si="29"/>
        <v>#DIV/0!</v>
      </c>
      <c r="AH123" s="134" t="e">
        <f t="shared" si="25"/>
        <v>#DIV/0!</v>
      </c>
      <c r="AI123" s="134" t="e">
        <f t="shared" si="26"/>
        <v>#DIV/0!</v>
      </c>
      <c r="AJ123" s="145" t="e">
        <f t="shared" si="27"/>
        <v>#DIV/0!</v>
      </c>
      <c r="AK123" s="92"/>
      <c r="AL123" s="181" t="s">
        <v>69</v>
      </c>
      <c r="AM123" s="28" t="s">
        <v>183</v>
      </c>
      <c r="AN123" s="175"/>
      <c r="AO123" s="92"/>
      <c r="AP123" s="92"/>
      <c r="AQ123" s="92"/>
      <c r="AR123" s="92"/>
      <c r="AS123" s="92"/>
      <c r="AT123" s="92"/>
      <c r="AU123" s="92"/>
      <c r="AV123" s="92"/>
      <c r="AW123" s="92"/>
      <c r="AX123" s="92"/>
      <c r="AY123" s="92"/>
      <c r="BB123" s="618">
        <v>94.5999999999994</v>
      </c>
      <c r="BC123" s="619">
        <v>1.02</v>
      </c>
      <c r="BD123" s="619">
        <v>1.02</v>
      </c>
      <c r="BE123" s="618">
        <v>94.5999999999994</v>
      </c>
      <c r="BF123" s="619">
        <v>1.02</v>
      </c>
      <c r="BG123" s="619">
        <v>1.02</v>
      </c>
      <c r="BH123" s="623">
        <f t="shared" si="17"/>
        <v>1.02</v>
      </c>
      <c r="BI123" s="623">
        <f t="shared" si="22"/>
        <v>1.02</v>
      </c>
    </row>
    <row r="124" spans="22:61" ht="13.5" hidden="1" thickBot="1">
      <c r="V124" s="185">
        <v>87.9</v>
      </c>
      <c r="W124" s="212" t="s">
        <v>160</v>
      </c>
      <c r="X124" s="212" t="s">
        <v>160</v>
      </c>
      <c r="Y124" s="212" t="s">
        <v>160</v>
      </c>
      <c r="Z124" s="212" t="s">
        <v>160</v>
      </c>
      <c r="AA124" s="212" t="s">
        <v>160</v>
      </c>
      <c r="AB124" s="237" t="s">
        <v>160</v>
      </c>
      <c r="AC124" s="92"/>
      <c r="AD124" s="197" t="e">
        <f>L9*R10</f>
        <v>#DIV/0!</v>
      </c>
      <c r="AE124" s="146" t="e">
        <f>IF(AND(Y11&lt;=$AF$116,Y11&gt;=$AE$116),Y11,"")</f>
        <v>#N/A</v>
      </c>
      <c r="AF124" s="147" t="e">
        <f t="shared" si="28"/>
        <v>#DIV/0!</v>
      </c>
      <c r="AG124" s="147" t="e">
        <f t="shared" si="29"/>
        <v>#DIV/0!</v>
      </c>
      <c r="AH124" s="147" t="e">
        <f t="shared" si="25"/>
        <v>#DIV/0!</v>
      </c>
      <c r="AI124" s="147" t="e">
        <f t="shared" si="26"/>
        <v>#DIV/0!</v>
      </c>
      <c r="AJ124" s="148" t="e">
        <f t="shared" si="27"/>
        <v>#DIV/0!</v>
      </c>
      <c r="AK124" s="92"/>
      <c r="AL124" s="324" t="s">
        <v>163</v>
      </c>
      <c r="AM124" s="28" t="s">
        <v>183</v>
      </c>
      <c r="AN124" s="175"/>
      <c r="AO124" s="92"/>
      <c r="AP124" s="92"/>
      <c r="AQ124" s="92"/>
      <c r="AR124" s="92"/>
      <c r="AS124" s="92"/>
      <c r="AT124" s="92"/>
      <c r="AU124" s="92"/>
      <c r="AV124" s="92"/>
      <c r="AW124" s="92"/>
      <c r="AX124" s="92"/>
      <c r="AY124" s="92"/>
      <c r="BB124" s="618">
        <v>94.69999999999939</v>
      </c>
      <c r="BC124" s="619">
        <v>1.02</v>
      </c>
      <c r="BD124" s="619">
        <v>1.02</v>
      </c>
      <c r="BE124" s="618">
        <v>94.69999999999939</v>
      </c>
      <c r="BF124" s="619">
        <v>1.02</v>
      </c>
      <c r="BG124" s="619">
        <v>1.02</v>
      </c>
      <c r="BH124" s="623">
        <f t="shared" si="17"/>
        <v>1.02</v>
      </c>
      <c r="BI124" s="623">
        <f t="shared" si="22"/>
        <v>1.02</v>
      </c>
    </row>
    <row r="125" spans="22:61" ht="12.75" hidden="1">
      <c r="V125" s="185">
        <v>88</v>
      </c>
      <c r="W125" s="212" t="s">
        <v>160</v>
      </c>
      <c r="X125" s="212" t="s">
        <v>160</v>
      </c>
      <c r="Y125" s="212" t="s">
        <v>160</v>
      </c>
      <c r="Z125" s="212" t="s">
        <v>160</v>
      </c>
      <c r="AA125" s="212" t="s">
        <v>160</v>
      </c>
      <c r="AB125" s="237" t="s">
        <v>160</v>
      </c>
      <c r="AC125" s="92"/>
      <c r="AD125" s="197"/>
      <c r="AE125" s="141">
        <v>0.01</v>
      </c>
      <c r="AF125" s="142" t="e">
        <f>AE129+0.01</f>
        <v>#N/A</v>
      </c>
      <c r="AG125" s="142" t="e">
        <f>AF129+0.01</f>
        <v>#N/A</v>
      </c>
      <c r="AH125" s="142" t="e">
        <f>AG129+0.01</f>
        <v>#N/A</v>
      </c>
      <c r="AI125" s="142" t="e">
        <f>AH129+0.01</f>
        <v>#N/A</v>
      </c>
      <c r="AJ125" s="143" t="e">
        <f>AI129+0.01</f>
        <v>#N/A</v>
      </c>
      <c r="AK125" s="92"/>
      <c r="AL125" s="324" t="s">
        <v>164</v>
      </c>
      <c r="AM125" s="28" t="s">
        <v>183</v>
      </c>
      <c r="AN125" s="175"/>
      <c r="AO125" s="92"/>
      <c r="AP125" s="92"/>
      <c r="AQ125" s="92"/>
      <c r="AR125" s="92"/>
      <c r="AS125" s="92"/>
      <c r="AT125" s="92"/>
      <c r="AU125" s="92"/>
      <c r="AV125" s="92"/>
      <c r="AW125" s="92"/>
      <c r="AX125" s="92"/>
      <c r="AY125" s="92"/>
      <c r="BB125" s="618">
        <v>94.79999999999939</v>
      </c>
      <c r="BC125" s="619">
        <v>1.02</v>
      </c>
      <c r="BD125" s="619">
        <v>1.02</v>
      </c>
      <c r="BE125" s="618">
        <v>94.79999999999939</v>
      </c>
      <c r="BF125" s="619">
        <v>1.02</v>
      </c>
      <c r="BG125" s="619">
        <v>1.02</v>
      </c>
      <c r="BH125" s="623">
        <f t="shared" si="17"/>
        <v>1.02</v>
      </c>
      <c r="BI125" s="623">
        <f t="shared" si="22"/>
        <v>1.02</v>
      </c>
    </row>
    <row r="126" spans="22:61" ht="12.75">
      <c r="V126" s="185">
        <v>88.1</v>
      </c>
      <c r="W126" s="212" t="s">
        <v>160</v>
      </c>
      <c r="X126" s="212" t="s">
        <v>160</v>
      </c>
      <c r="Y126" s="212" t="s">
        <v>160</v>
      </c>
      <c r="Z126" s="212" t="s">
        <v>160</v>
      </c>
      <c r="AA126" s="212" t="s">
        <v>160</v>
      </c>
      <c r="AB126" s="237" t="s">
        <v>160</v>
      </c>
      <c r="AC126" s="92"/>
      <c r="AD126" s="39"/>
      <c r="AE126" s="144" t="e">
        <f aca="true" t="shared" si="30" ref="AE126:AJ126">MIN(AE117:AE124)</f>
        <v>#DIV/0!</v>
      </c>
      <c r="AF126" s="134" t="e">
        <f t="shared" si="30"/>
        <v>#DIV/0!</v>
      </c>
      <c r="AG126" s="134" t="e">
        <f t="shared" si="30"/>
        <v>#DIV/0!</v>
      </c>
      <c r="AH126" s="134" t="e">
        <f t="shared" si="30"/>
        <v>#DIV/0!</v>
      </c>
      <c r="AI126" s="134" t="e">
        <f t="shared" si="30"/>
        <v>#DIV/0!</v>
      </c>
      <c r="AJ126" s="145" t="e">
        <f t="shared" si="30"/>
        <v>#DIV/0!</v>
      </c>
      <c r="AK126" s="92"/>
      <c r="AL126" s="180" t="s">
        <v>165</v>
      </c>
      <c r="AM126" s="28" t="s">
        <v>183</v>
      </c>
      <c r="AN126" s="175"/>
      <c r="AO126" s="92"/>
      <c r="AP126" s="92"/>
      <c r="AQ126" s="92"/>
      <c r="AR126" s="92"/>
      <c r="AS126" s="92"/>
      <c r="AT126" s="92"/>
      <c r="AU126" s="92"/>
      <c r="AV126" s="92"/>
      <c r="AW126" s="92"/>
      <c r="AX126" s="92"/>
      <c r="AY126" s="92"/>
      <c r="BB126" s="618">
        <v>94.89999999999938</v>
      </c>
      <c r="BC126" s="619">
        <v>1.02</v>
      </c>
      <c r="BD126" s="619">
        <v>1.02</v>
      </c>
      <c r="BE126" s="618">
        <v>94.89999999999938</v>
      </c>
      <c r="BF126" s="619">
        <v>1.02</v>
      </c>
      <c r="BG126" s="619">
        <v>1.02</v>
      </c>
      <c r="BH126" s="623">
        <f t="shared" si="17"/>
        <v>1.02</v>
      </c>
      <c r="BI126" s="623">
        <f t="shared" si="22"/>
        <v>1.02</v>
      </c>
    </row>
    <row r="127" spans="22:61" ht="12.75">
      <c r="V127" s="185">
        <v>88.2</v>
      </c>
      <c r="W127" s="212" t="s">
        <v>160</v>
      </c>
      <c r="X127" s="212" t="s">
        <v>160</v>
      </c>
      <c r="Y127" s="212" t="s">
        <v>160</v>
      </c>
      <c r="Z127" s="212" t="s">
        <v>160</v>
      </c>
      <c r="AA127" s="212" t="s">
        <v>160</v>
      </c>
      <c r="AB127" s="237" t="s">
        <v>160</v>
      </c>
      <c r="AC127" s="92"/>
      <c r="AD127" s="39"/>
      <c r="AE127" s="144" t="e">
        <f aca="true" t="shared" si="31" ref="AE127:AJ127">IF(AND(AE117&gt;AE126,AE117&lt;AE128),AE117,IF(AND(AE118&gt;AE126,AE118&lt;AE128),AE118,IF(AND(AE119&gt;AE126,AE119&lt;AE128),AE119,IF(AND(AE120&gt;AE126,AE120&lt;AE128),AE120,IF(AND(AE121&gt;AE126,AE121&lt;AE128),AE121,IF(AND(AE122&gt;AE126,AE122&lt;AE128),AE122,IF(AND(AE123&gt;AE126,AE123&lt;AE128),AE123,0)))))))</f>
        <v>#DIV/0!</v>
      </c>
      <c r="AF127" s="134" t="e">
        <f t="shared" si="31"/>
        <v>#DIV/0!</v>
      </c>
      <c r="AG127" s="134" t="e">
        <f t="shared" si="31"/>
        <v>#DIV/0!</v>
      </c>
      <c r="AH127" s="134" t="e">
        <f t="shared" si="31"/>
        <v>#DIV/0!</v>
      </c>
      <c r="AI127" s="134" t="e">
        <f t="shared" si="31"/>
        <v>#DIV/0!</v>
      </c>
      <c r="AJ127" s="145" t="e">
        <f t="shared" si="31"/>
        <v>#DIV/0!</v>
      </c>
      <c r="AK127" s="92"/>
      <c r="AL127" s="180" t="s">
        <v>166</v>
      </c>
      <c r="AM127" s="28" t="s">
        <v>183</v>
      </c>
      <c r="AN127" s="31"/>
      <c r="AO127" s="92"/>
      <c r="AP127" s="92"/>
      <c r="AQ127" s="92"/>
      <c r="AR127" s="92"/>
      <c r="AS127" s="92"/>
      <c r="AT127" s="92"/>
      <c r="AU127" s="92"/>
      <c r="AV127" s="92"/>
      <c r="AW127" s="92"/>
      <c r="AX127" s="92"/>
      <c r="AY127" s="92"/>
      <c r="BB127" s="618">
        <v>94.99999999999937</v>
      </c>
      <c r="BC127" s="619">
        <v>1.02</v>
      </c>
      <c r="BD127" s="619">
        <v>1.02</v>
      </c>
      <c r="BE127" s="618">
        <v>94.99999999999937</v>
      </c>
      <c r="BF127" s="619">
        <v>1.02</v>
      </c>
      <c r="BG127" s="619">
        <v>1.02</v>
      </c>
      <c r="BH127" s="623">
        <f t="shared" si="17"/>
        <v>1.02</v>
      </c>
      <c r="BI127" s="623">
        <f t="shared" si="22"/>
        <v>1.02</v>
      </c>
    </row>
    <row r="128" spans="22:61" ht="12.75">
      <c r="V128" s="185">
        <v>88.3</v>
      </c>
      <c r="W128" s="212" t="s">
        <v>160</v>
      </c>
      <c r="X128" s="212" t="s">
        <v>160</v>
      </c>
      <c r="Y128" s="212" t="s">
        <v>160</v>
      </c>
      <c r="Z128" s="212" t="s">
        <v>160</v>
      </c>
      <c r="AA128" s="212" t="s">
        <v>160</v>
      </c>
      <c r="AB128" s="237" t="s">
        <v>160</v>
      </c>
      <c r="AC128" s="92"/>
      <c r="AD128" s="39"/>
      <c r="AE128" s="144" t="e">
        <f aca="true" t="shared" si="32" ref="AE128:AJ128">MAX(AE117:AE124)</f>
        <v>#DIV/0!</v>
      </c>
      <c r="AF128" s="134" t="e">
        <f t="shared" si="32"/>
        <v>#DIV/0!</v>
      </c>
      <c r="AG128" s="134" t="e">
        <f t="shared" si="32"/>
        <v>#DIV/0!</v>
      </c>
      <c r="AH128" s="134" t="e">
        <f t="shared" si="32"/>
        <v>#DIV/0!</v>
      </c>
      <c r="AI128" s="134" t="e">
        <f t="shared" si="32"/>
        <v>#DIV/0!</v>
      </c>
      <c r="AJ128" s="145" t="e">
        <f t="shared" si="32"/>
        <v>#DIV/0!</v>
      </c>
      <c r="AK128" s="92"/>
      <c r="AL128" s="180" t="s">
        <v>16</v>
      </c>
      <c r="AM128" s="28" t="s">
        <v>183</v>
      </c>
      <c r="AN128" s="31"/>
      <c r="AO128" s="92"/>
      <c r="AP128" s="92"/>
      <c r="AQ128" s="92"/>
      <c r="AR128" s="92"/>
      <c r="AS128" s="92"/>
      <c r="AT128" s="92"/>
      <c r="AU128" s="92"/>
      <c r="AV128" s="92"/>
      <c r="AW128" s="92"/>
      <c r="AX128" s="92"/>
      <c r="AY128" s="92"/>
      <c r="BB128" s="618">
        <v>95.09999999999937</v>
      </c>
      <c r="BC128" s="619">
        <v>1.02</v>
      </c>
      <c r="BD128" s="619">
        <v>1.02</v>
      </c>
      <c r="BE128" s="618">
        <v>95.09999999999937</v>
      </c>
      <c r="BF128" s="619">
        <v>1.02</v>
      </c>
      <c r="BG128" s="619">
        <v>1.02</v>
      </c>
      <c r="BH128" s="623">
        <f t="shared" si="17"/>
        <v>1.02</v>
      </c>
      <c r="BI128" s="623">
        <f t="shared" si="22"/>
        <v>1.02</v>
      </c>
    </row>
    <row r="129" spans="22:61" ht="13.5" thickBot="1">
      <c r="V129" s="185">
        <v>88.4</v>
      </c>
      <c r="W129" s="212" t="s">
        <v>160</v>
      </c>
      <c r="X129" s="212" t="s">
        <v>160</v>
      </c>
      <c r="Y129" s="212" t="s">
        <v>160</v>
      </c>
      <c r="Z129" s="212" t="s">
        <v>160</v>
      </c>
      <c r="AA129" s="212" t="s">
        <v>160</v>
      </c>
      <c r="AB129" s="237" t="s">
        <v>160</v>
      </c>
      <c r="AC129" s="92"/>
      <c r="AD129" s="39"/>
      <c r="AE129" s="149" t="e">
        <f aca="true" t="shared" si="33" ref="AE129:AJ129">MAX(AE116:AE125)</f>
        <v>#N/A</v>
      </c>
      <c r="AF129" s="150" t="e">
        <f t="shared" si="33"/>
        <v>#N/A</v>
      </c>
      <c r="AG129" s="150" t="e">
        <f t="shared" si="33"/>
        <v>#N/A</v>
      </c>
      <c r="AH129" s="150" t="e">
        <f t="shared" si="33"/>
        <v>#N/A</v>
      </c>
      <c r="AI129" s="150" t="e">
        <f t="shared" si="33"/>
        <v>#N/A</v>
      </c>
      <c r="AJ129" s="151" t="e">
        <f t="shared" si="33"/>
        <v>#N/A</v>
      </c>
      <c r="AK129" s="92"/>
      <c r="AL129" s="180" t="s">
        <v>70</v>
      </c>
      <c r="AM129" s="28" t="s">
        <v>183</v>
      </c>
      <c r="AN129" s="216"/>
      <c r="AO129" s="92"/>
      <c r="AP129" s="92"/>
      <c r="AQ129" s="92"/>
      <c r="AR129" s="92"/>
      <c r="AS129" s="92"/>
      <c r="AT129" s="92"/>
      <c r="AU129" s="92"/>
      <c r="AV129" s="92"/>
      <c r="AW129" s="92"/>
      <c r="AX129" s="92"/>
      <c r="AY129" s="92"/>
      <c r="BB129" s="618">
        <v>95.19999999999936</v>
      </c>
      <c r="BC129" s="619">
        <v>1.02</v>
      </c>
      <c r="BD129" s="619">
        <v>1.02</v>
      </c>
      <c r="BE129" s="618">
        <v>95.19999999999936</v>
      </c>
      <c r="BF129" s="619">
        <v>1.02</v>
      </c>
      <c r="BG129" s="619">
        <v>1.02</v>
      </c>
      <c r="BH129" s="623">
        <f t="shared" si="17"/>
        <v>1.02</v>
      </c>
      <c r="BI129" s="623">
        <f t="shared" si="22"/>
        <v>1.02</v>
      </c>
    </row>
    <row r="130" spans="22:61" ht="12.75">
      <c r="V130" s="238">
        <v>88.5</v>
      </c>
      <c r="W130" s="180">
        <v>-0.3</v>
      </c>
      <c r="X130" s="212" t="s">
        <v>160</v>
      </c>
      <c r="Y130" s="212" t="s">
        <v>160</v>
      </c>
      <c r="Z130" s="212" t="s">
        <v>160</v>
      </c>
      <c r="AA130" s="212" t="s">
        <v>160</v>
      </c>
      <c r="AB130" s="237" t="s">
        <v>160</v>
      </c>
      <c r="AC130" s="92"/>
      <c r="AD130" s="39"/>
      <c r="AE130" s="141">
        <f aca="true" t="shared" si="34" ref="AE130:AJ130">AE125</f>
        <v>0.01</v>
      </c>
      <c r="AF130" s="142" t="e">
        <f t="shared" si="34"/>
        <v>#N/A</v>
      </c>
      <c r="AG130" s="142" t="e">
        <f t="shared" si="34"/>
        <v>#N/A</v>
      </c>
      <c r="AH130" s="142" t="e">
        <f t="shared" si="34"/>
        <v>#N/A</v>
      </c>
      <c r="AI130" s="142" t="e">
        <f t="shared" si="34"/>
        <v>#N/A</v>
      </c>
      <c r="AJ130" s="143" t="e">
        <f t="shared" si="34"/>
        <v>#N/A</v>
      </c>
      <c r="AK130" s="92"/>
      <c r="AL130" s="217">
        <v>1</v>
      </c>
      <c r="AM130" s="218">
        <f aca="true" t="shared" si="35" ref="AM130:AM152">IF(S19&gt;=0,S19,"")</f>
      </c>
      <c r="AN130" s="39">
        <f aca="true" t="shared" si="36" ref="AN130:AN152">IF(S19&lt;0,S19,"")</f>
      </c>
      <c r="AO130" s="92"/>
      <c r="AP130" s="92"/>
      <c r="AQ130" s="92"/>
      <c r="AR130" s="92"/>
      <c r="AS130" s="92"/>
      <c r="AT130" s="92"/>
      <c r="AU130" s="92"/>
      <c r="AV130" s="92"/>
      <c r="AW130" s="92"/>
      <c r="AX130" s="92"/>
      <c r="AY130" s="92"/>
      <c r="BB130" s="618">
        <v>95.29999999999936</v>
      </c>
      <c r="BC130" s="619">
        <v>1.02</v>
      </c>
      <c r="BD130" s="619">
        <v>1.02</v>
      </c>
      <c r="BE130" s="618">
        <v>95.29999999999936</v>
      </c>
      <c r="BF130" s="619">
        <v>1.02</v>
      </c>
      <c r="BG130" s="619">
        <v>1.02</v>
      </c>
      <c r="BH130" s="623">
        <f t="shared" si="17"/>
        <v>1.02</v>
      </c>
      <c r="BI130" s="623">
        <f t="shared" si="22"/>
        <v>1.02</v>
      </c>
    </row>
    <row r="131" spans="22:61" ht="12.75">
      <c r="V131" s="238">
        <v>88.6</v>
      </c>
      <c r="W131" s="180">
        <v>-0.3</v>
      </c>
      <c r="X131" s="212" t="s">
        <v>160</v>
      </c>
      <c r="Y131" s="212" t="s">
        <v>160</v>
      </c>
      <c r="Z131" s="212" t="s">
        <v>160</v>
      </c>
      <c r="AA131" s="212" t="s">
        <v>160</v>
      </c>
      <c r="AB131" s="237" t="s">
        <v>160</v>
      </c>
      <c r="AC131" s="92"/>
      <c r="AD131" s="39"/>
      <c r="AE131" s="144" t="e">
        <f aca="true" t="shared" si="37" ref="AE131:AJ131">IF(AE126=0,AE127,AE126)</f>
        <v>#DIV/0!</v>
      </c>
      <c r="AF131" s="134" t="e">
        <f t="shared" si="37"/>
        <v>#DIV/0!</v>
      </c>
      <c r="AG131" s="134" t="e">
        <f t="shared" si="37"/>
        <v>#DIV/0!</v>
      </c>
      <c r="AH131" s="134" t="e">
        <f t="shared" si="37"/>
        <v>#DIV/0!</v>
      </c>
      <c r="AI131" s="134" t="e">
        <f t="shared" si="37"/>
        <v>#DIV/0!</v>
      </c>
      <c r="AJ131" s="145" t="e">
        <f t="shared" si="37"/>
        <v>#DIV/0!</v>
      </c>
      <c r="AK131" s="92"/>
      <c r="AL131" s="217"/>
      <c r="AM131" s="218">
        <f t="shared" si="35"/>
      </c>
      <c r="AN131" s="39">
        <f t="shared" si="36"/>
      </c>
      <c r="AO131" s="92"/>
      <c r="AP131" s="92"/>
      <c r="AQ131" s="92"/>
      <c r="AR131" s="92"/>
      <c r="AS131" s="92"/>
      <c r="AT131" s="92"/>
      <c r="AU131" s="92"/>
      <c r="AV131" s="92"/>
      <c r="AW131" s="92"/>
      <c r="AX131" s="92"/>
      <c r="AY131" s="92"/>
      <c r="BB131" s="618">
        <v>95.39999999999935</v>
      </c>
      <c r="BC131" s="619">
        <v>1.02</v>
      </c>
      <c r="BD131" s="619">
        <v>1.02</v>
      </c>
      <c r="BE131" s="618">
        <v>95.39999999999935</v>
      </c>
      <c r="BF131" s="619">
        <v>1.02</v>
      </c>
      <c r="BG131" s="619">
        <v>1.02</v>
      </c>
      <c r="BH131" s="623">
        <f t="shared" si="17"/>
        <v>1.02</v>
      </c>
      <c r="BI131" s="623">
        <f t="shared" si="22"/>
        <v>1.02</v>
      </c>
    </row>
    <row r="132" spans="22:61" ht="12.75">
      <c r="V132" s="238">
        <v>88.7</v>
      </c>
      <c r="W132" s="180">
        <v>-0.3</v>
      </c>
      <c r="X132" s="212" t="s">
        <v>160</v>
      </c>
      <c r="Y132" s="212" t="s">
        <v>160</v>
      </c>
      <c r="Z132" s="212" t="s">
        <v>160</v>
      </c>
      <c r="AA132" s="212" t="s">
        <v>160</v>
      </c>
      <c r="AB132" s="237" t="s">
        <v>160</v>
      </c>
      <c r="AC132" s="92"/>
      <c r="AD132" s="39"/>
      <c r="AE132" s="144" t="e">
        <f aca="true" t="shared" si="38" ref="AE132:AJ132">IF(AE127=0,AE128,AE127)</f>
        <v>#DIV/0!</v>
      </c>
      <c r="AF132" s="134" t="e">
        <f t="shared" si="38"/>
        <v>#DIV/0!</v>
      </c>
      <c r="AG132" s="134" t="e">
        <f t="shared" si="38"/>
        <v>#DIV/0!</v>
      </c>
      <c r="AH132" s="134" t="e">
        <f t="shared" si="38"/>
        <v>#DIV/0!</v>
      </c>
      <c r="AI132" s="134" t="e">
        <f t="shared" si="38"/>
        <v>#DIV/0!</v>
      </c>
      <c r="AJ132" s="145" t="e">
        <f t="shared" si="38"/>
        <v>#DIV/0!</v>
      </c>
      <c r="AK132" s="92"/>
      <c r="AL132" s="217"/>
      <c r="AM132" s="218">
        <f t="shared" si="35"/>
      </c>
      <c r="AN132" s="39">
        <f t="shared" si="36"/>
      </c>
      <c r="AO132" s="92"/>
      <c r="AP132" s="92"/>
      <c r="AQ132" s="92"/>
      <c r="AR132" s="92"/>
      <c r="AS132" s="92"/>
      <c r="AT132" s="92"/>
      <c r="AU132" s="92"/>
      <c r="AV132" s="92"/>
      <c r="AW132" s="92"/>
      <c r="AX132" s="92"/>
      <c r="AY132" s="92"/>
      <c r="BB132" s="618">
        <v>95.49999999999935</v>
      </c>
      <c r="BC132" s="619">
        <v>1.02</v>
      </c>
      <c r="BD132" s="619">
        <v>1.02</v>
      </c>
      <c r="BE132" s="618">
        <v>95.49999999999935</v>
      </c>
      <c r="BF132" s="619">
        <v>1.02</v>
      </c>
      <c r="BG132" s="619">
        <v>1.02</v>
      </c>
      <c r="BH132" s="623">
        <f t="shared" si="17"/>
        <v>1.02</v>
      </c>
      <c r="BI132" s="623">
        <f t="shared" si="22"/>
        <v>1.02</v>
      </c>
    </row>
    <row r="133" spans="22:61" ht="12.75">
      <c r="V133" s="238">
        <v>88.8</v>
      </c>
      <c r="W133" s="180">
        <v>-0.3</v>
      </c>
      <c r="X133" s="212" t="s">
        <v>160</v>
      </c>
      <c r="Y133" s="212" t="s">
        <v>160</v>
      </c>
      <c r="Z133" s="212" t="s">
        <v>160</v>
      </c>
      <c r="AA133" s="212" t="s">
        <v>160</v>
      </c>
      <c r="AB133" s="237" t="s">
        <v>160</v>
      </c>
      <c r="AC133" s="92"/>
      <c r="AD133" s="39"/>
      <c r="AE133" s="144" t="e">
        <f aca="true" t="shared" si="39" ref="AE133:AJ133">IF(AE128=AE126,AE129,AE128)</f>
        <v>#DIV/0!</v>
      </c>
      <c r="AF133" s="134" t="e">
        <f t="shared" si="39"/>
        <v>#DIV/0!</v>
      </c>
      <c r="AG133" s="134" t="e">
        <f t="shared" si="39"/>
        <v>#DIV/0!</v>
      </c>
      <c r="AH133" s="134" t="e">
        <f t="shared" si="39"/>
        <v>#DIV/0!</v>
      </c>
      <c r="AI133" s="134" t="e">
        <f t="shared" si="39"/>
        <v>#DIV/0!</v>
      </c>
      <c r="AJ133" s="145" t="e">
        <f t="shared" si="39"/>
        <v>#DIV/0!</v>
      </c>
      <c r="AK133" s="92"/>
      <c r="AL133" s="217"/>
      <c r="AM133" s="218">
        <f t="shared" si="35"/>
      </c>
      <c r="AN133" s="39">
        <f t="shared" si="36"/>
      </c>
      <c r="AO133" s="92"/>
      <c r="AP133" s="92"/>
      <c r="AQ133" s="92"/>
      <c r="AR133" s="92"/>
      <c r="AS133" s="92"/>
      <c r="AT133" s="92"/>
      <c r="AU133" s="92"/>
      <c r="AV133" s="92"/>
      <c r="AW133" s="92"/>
      <c r="AX133" s="92"/>
      <c r="AY133" s="92"/>
      <c r="BB133" s="618">
        <v>95.59999999999934</v>
      </c>
      <c r="BC133" s="619">
        <v>1.02</v>
      </c>
      <c r="BD133" s="619">
        <v>1.02</v>
      </c>
      <c r="BE133" s="618">
        <v>95.59999999999934</v>
      </c>
      <c r="BF133" s="619">
        <v>1.02</v>
      </c>
      <c r="BG133" s="619">
        <v>1.02</v>
      </c>
      <c r="BH133" s="623">
        <f t="shared" si="17"/>
        <v>1.02</v>
      </c>
      <c r="BI133" s="623">
        <f t="shared" si="22"/>
        <v>1.02</v>
      </c>
    </row>
    <row r="134" spans="22:61" ht="13.5" thickBot="1">
      <c r="V134" s="185">
        <v>88.9</v>
      </c>
      <c r="W134" s="180">
        <v>-0.3</v>
      </c>
      <c r="X134" s="212" t="s">
        <v>160</v>
      </c>
      <c r="Y134" s="212" t="s">
        <v>160</v>
      </c>
      <c r="Z134" s="212" t="s">
        <v>160</v>
      </c>
      <c r="AA134" s="212" t="s">
        <v>160</v>
      </c>
      <c r="AB134" s="237" t="s">
        <v>160</v>
      </c>
      <c r="AC134" s="92"/>
      <c r="AD134" s="59"/>
      <c r="AE134" s="152" t="e">
        <f aca="true" t="shared" si="40" ref="AE134:AJ134">IF(AE129&gt;AE133,AE129,"")</f>
        <v>#N/A</v>
      </c>
      <c r="AF134" s="153" t="e">
        <f t="shared" si="40"/>
        <v>#N/A</v>
      </c>
      <c r="AG134" s="153" t="e">
        <f t="shared" si="40"/>
        <v>#N/A</v>
      </c>
      <c r="AH134" s="153" t="e">
        <f t="shared" si="40"/>
        <v>#N/A</v>
      </c>
      <c r="AI134" s="153" t="e">
        <f t="shared" si="40"/>
        <v>#N/A</v>
      </c>
      <c r="AJ134" s="154" t="e">
        <f t="shared" si="40"/>
        <v>#N/A</v>
      </c>
      <c r="AK134" s="92"/>
      <c r="AL134" s="217">
        <v>2</v>
      </c>
      <c r="AM134" s="218" t="e">
        <f t="shared" si="35"/>
        <v>#N/A</v>
      </c>
      <c r="AN134" s="39" t="e">
        <f t="shared" si="36"/>
        <v>#N/A</v>
      </c>
      <c r="AO134" s="92"/>
      <c r="AP134" s="92"/>
      <c r="AQ134" s="92"/>
      <c r="AR134" s="92"/>
      <c r="AS134" s="92"/>
      <c r="AT134" s="92"/>
      <c r="AU134" s="92"/>
      <c r="AV134" s="92"/>
      <c r="AW134" s="92"/>
      <c r="AX134" s="92"/>
      <c r="AY134" s="92"/>
      <c r="BB134" s="618">
        <v>95.69999999999933</v>
      </c>
      <c r="BC134" s="619">
        <v>1.02</v>
      </c>
      <c r="BD134" s="619">
        <v>1.02</v>
      </c>
      <c r="BE134" s="618">
        <v>95.69999999999933</v>
      </c>
      <c r="BF134" s="619">
        <v>1.02</v>
      </c>
      <c r="BG134" s="619">
        <v>1.02</v>
      </c>
      <c r="BH134" s="623">
        <f t="shared" si="17"/>
        <v>1.02</v>
      </c>
      <c r="BI134" s="623">
        <f t="shared" si="22"/>
        <v>1.02</v>
      </c>
    </row>
    <row r="135" spans="22:61" ht="12.75">
      <c r="V135" s="238">
        <v>89</v>
      </c>
      <c r="W135" s="180">
        <v>-0.15</v>
      </c>
      <c r="X135" s="180">
        <v>-0.3</v>
      </c>
      <c r="Y135" s="180">
        <v>-0.3</v>
      </c>
      <c r="Z135" s="181">
        <v>-0.3</v>
      </c>
      <c r="AA135" s="212" t="s">
        <v>160</v>
      </c>
      <c r="AB135" s="186">
        <v>-0.3</v>
      </c>
      <c r="AC135" s="92"/>
      <c r="AD135" s="59"/>
      <c r="AE135" s="141">
        <f aca="true" t="shared" si="41" ref="AE135:AJ135">AE130</f>
        <v>0.01</v>
      </c>
      <c r="AF135" s="142" t="e">
        <f t="shared" si="41"/>
        <v>#N/A</v>
      </c>
      <c r="AG135" s="142" t="e">
        <f t="shared" si="41"/>
        <v>#N/A</v>
      </c>
      <c r="AH135" s="142" t="e">
        <f t="shared" si="41"/>
        <v>#N/A</v>
      </c>
      <c r="AI135" s="142" t="e">
        <f t="shared" si="41"/>
        <v>#N/A</v>
      </c>
      <c r="AJ135" s="143" t="e">
        <f t="shared" si="41"/>
        <v>#N/A</v>
      </c>
      <c r="AK135" s="92"/>
      <c r="AL135" s="217"/>
      <c r="AM135" s="218" t="e">
        <f t="shared" si="35"/>
        <v>#N/A</v>
      </c>
      <c r="AN135" s="39" t="e">
        <f t="shared" si="36"/>
        <v>#N/A</v>
      </c>
      <c r="AO135" s="92"/>
      <c r="AP135" s="92"/>
      <c r="AQ135" s="92"/>
      <c r="AR135" s="92"/>
      <c r="AS135" s="92"/>
      <c r="AT135" s="92"/>
      <c r="AU135" s="92"/>
      <c r="AV135" s="92"/>
      <c r="AW135" s="92"/>
      <c r="AX135" s="92"/>
      <c r="AY135" s="92"/>
      <c r="BB135" s="618">
        <v>95.79999999999933</v>
      </c>
      <c r="BC135" s="619">
        <v>1.02</v>
      </c>
      <c r="BD135" s="619">
        <v>1.02</v>
      </c>
      <c r="BE135" s="618">
        <v>95.79999999999933</v>
      </c>
      <c r="BF135" s="619">
        <v>1.02</v>
      </c>
      <c r="BG135" s="619">
        <v>1.02</v>
      </c>
      <c r="BH135" s="623">
        <f t="shared" si="17"/>
        <v>1.02</v>
      </c>
      <c r="BI135" s="623">
        <f t="shared" si="22"/>
        <v>1.02</v>
      </c>
    </row>
    <row r="136" spans="22:61" ht="12.75">
      <c r="V136" s="238">
        <v>89.1</v>
      </c>
      <c r="W136" s="180">
        <v>-0.15</v>
      </c>
      <c r="X136" s="180">
        <v>-0.3</v>
      </c>
      <c r="Y136" s="180">
        <v>-0.3</v>
      </c>
      <c r="Z136" s="181">
        <v>-0.3</v>
      </c>
      <c r="AA136" s="212" t="s">
        <v>160</v>
      </c>
      <c r="AB136" s="186">
        <v>-0.3</v>
      </c>
      <c r="AC136" s="92"/>
      <c r="AD136" s="197"/>
      <c r="AE136" s="144" t="e">
        <f aca="true" t="shared" si="42" ref="AE136:AJ139">IF(AE131=0,AE132,AE131)</f>
        <v>#DIV/0!</v>
      </c>
      <c r="AF136" s="134" t="e">
        <f t="shared" si="42"/>
        <v>#DIV/0!</v>
      </c>
      <c r="AG136" s="134" t="e">
        <f t="shared" si="42"/>
        <v>#DIV/0!</v>
      </c>
      <c r="AH136" s="134" t="e">
        <f t="shared" si="42"/>
        <v>#DIV/0!</v>
      </c>
      <c r="AI136" s="134" t="e">
        <f t="shared" si="42"/>
        <v>#DIV/0!</v>
      </c>
      <c r="AJ136" s="145" t="e">
        <f t="shared" si="42"/>
        <v>#DIV/0!</v>
      </c>
      <c r="AK136" s="92"/>
      <c r="AL136" s="217"/>
      <c r="AM136" s="218" t="e">
        <f t="shared" si="35"/>
        <v>#N/A</v>
      </c>
      <c r="AN136" s="39" t="e">
        <f t="shared" si="36"/>
        <v>#N/A</v>
      </c>
      <c r="AO136" s="92"/>
      <c r="AP136" s="92"/>
      <c r="AQ136" s="92"/>
      <c r="AR136" s="92"/>
      <c r="AS136" s="92"/>
      <c r="AT136" s="92"/>
      <c r="AU136" s="92"/>
      <c r="AV136" s="92"/>
      <c r="AW136" s="92"/>
      <c r="AX136" s="92"/>
      <c r="AY136" s="92"/>
      <c r="BB136" s="618">
        <v>95.89999999999932</v>
      </c>
      <c r="BC136" s="619">
        <v>1.02</v>
      </c>
      <c r="BD136" s="619">
        <v>1.02</v>
      </c>
      <c r="BE136" s="618">
        <v>95.89999999999932</v>
      </c>
      <c r="BF136" s="619">
        <v>1.02</v>
      </c>
      <c r="BG136" s="619">
        <v>1.02</v>
      </c>
      <c r="BH136" s="623">
        <f t="shared" si="17"/>
        <v>1.02</v>
      </c>
      <c r="BI136" s="623">
        <f t="shared" si="22"/>
        <v>1.02</v>
      </c>
    </row>
    <row r="137" spans="22:61" ht="12.75">
      <c r="V137" s="238">
        <v>89.2</v>
      </c>
      <c r="W137" s="180">
        <v>-0.15</v>
      </c>
      <c r="X137" s="180">
        <v>-0.3</v>
      </c>
      <c r="Y137" s="180">
        <v>-0.15</v>
      </c>
      <c r="Z137" s="181">
        <v>-0.3</v>
      </c>
      <c r="AA137" s="212" t="s">
        <v>160</v>
      </c>
      <c r="AB137" s="186">
        <v>-0.3</v>
      </c>
      <c r="AC137" s="92"/>
      <c r="AD137" s="197"/>
      <c r="AE137" s="144" t="e">
        <f t="shared" si="42"/>
        <v>#DIV/0!</v>
      </c>
      <c r="AF137" s="134" t="e">
        <f t="shared" si="42"/>
        <v>#DIV/0!</v>
      </c>
      <c r="AG137" s="134" t="e">
        <f t="shared" si="42"/>
        <v>#DIV/0!</v>
      </c>
      <c r="AH137" s="134" t="e">
        <f t="shared" si="42"/>
        <v>#DIV/0!</v>
      </c>
      <c r="AI137" s="134" t="e">
        <f t="shared" si="42"/>
        <v>#DIV/0!</v>
      </c>
      <c r="AJ137" s="145" t="e">
        <f t="shared" si="42"/>
        <v>#DIV/0!</v>
      </c>
      <c r="AK137" s="92"/>
      <c r="AL137" s="217"/>
      <c r="AM137" s="218" t="e">
        <f t="shared" si="35"/>
        <v>#N/A</v>
      </c>
      <c r="AN137" s="39" t="e">
        <f t="shared" si="36"/>
        <v>#N/A</v>
      </c>
      <c r="AO137" s="92"/>
      <c r="AP137" s="92"/>
      <c r="AQ137" s="92"/>
      <c r="AR137" s="92"/>
      <c r="AS137" s="92"/>
      <c r="AT137" s="92"/>
      <c r="AU137" s="92"/>
      <c r="AV137" s="92"/>
      <c r="AW137" s="92"/>
      <c r="AX137" s="92"/>
      <c r="AY137" s="92"/>
      <c r="BB137" s="618">
        <v>95.99999999999932</v>
      </c>
      <c r="BC137" s="619">
        <v>1.02</v>
      </c>
      <c r="BD137" s="619">
        <v>1.02</v>
      </c>
      <c r="BE137" s="618">
        <v>95.99999999999932</v>
      </c>
      <c r="BF137" s="619">
        <v>1.02</v>
      </c>
      <c r="BG137" s="619">
        <v>1.02</v>
      </c>
      <c r="BH137" s="623">
        <f t="shared" si="17"/>
        <v>1.02</v>
      </c>
      <c r="BI137" s="623">
        <f t="shared" si="22"/>
        <v>1.02</v>
      </c>
    </row>
    <row r="138" spans="22:61" ht="12.75">
      <c r="V138" s="238">
        <v>89.3</v>
      </c>
      <c r="W138" s="180">
        <v>-0.15</v>
      </c>
      <c r="X138" s="180">
        <v>-0.3</v>
      </c>
      <c r="Y138" s="180">
        <v>-0.15</v>
      </c>
      <c r="Z138" s="181">
        <v>-0.3</v>
      </c>
      <c r="AA138" s="212" t="s">
        <v>160</v>
      </c>
      <c r="AB138" s="186">
        <v>-0.3</v>
      </c>
      <c r="AC138" s="92"/>
      <c r="AD138" s="197"/>
      <c r="AE138" s="144" t="e">
        <f t="shared" si="42"/>
        <v>#DIV/0!</v>
      </c>
      <c r="AF138" s="134" t="e">
        <f t="shared" si="42"/>
        <v>#DIV/0!</v>
      </c>
      <c r="AG138" s="134" t="e">
        <f t="shared" si="42"/>
        <v>#DIV/0!</v>
      </c>
      <c r="AH138" s="134" t="e">
        <f t="shared" si="42"/>
        <v>#DIV/0!</v>
      </c>
      <c r="AI138" s="134" t="e">
        <f t="shared" si="42"/>
        <v>#DIV/0!</v>
      </c>
      <c r="AJ138" s="145" t="e">
        <f t="shared" si="42"/>
        <v>#DIV/0!</v>
      </c>
      <c r="AK138" s="92"/>
      <c r="AL138" s="217">
        <v>3</v>
      </c>
      <c r="AM138" s="218" t="e">
        <f t="shared" si="35"/>
        <v>#N/A</v>
      </c>
      <c r="AN138" s="39" t="e">
        <f t="shared" si="36"/>
        <v>#N/A</v>
      </c>
      <c r="AO138" s="92"/>
      <c r="AP138" s="92"/>
      <c r="AQ138" s="92"/>
      <c r="AR138" s="92"/>
      <c r="AS138" s="92"/>
      <c r="AT138" s="92"/>
      <c r="AU138" s="92"/>
      <c r="AV138" s="92"/>
      <c r="AW138" s="92"/>
      <c r="AX138" s="92"/>
      <c r="AY138" s="92"/>
      <c r="BB138" s="618">
        <v>96.09999999999931</v>
      </c>
      <c r="BC138" s="619">
        <v>1.02</v>
      </c>
      <c r="BD138" s="619">
        <v>1.02</v>
      </c>
      <c r="BE138" s="618">
        <v>96.09999999999931</v>
      </c>
      <c r="BF138" s="619">
        <v>1.02</v>
      </c>
      <c r="BG138" s="619">
        <v>1.02</v>
      </c>
      <c r="BH138" s="623">
        <f t="shared" si="17"/>
        <v>1.02</v>
      </c>
      <c r="BI138" s="623">
        <f t="shared" si="22"/>
        <v>1.02</v>
      </c>
    </row>
    <row r="139" spans="22:61" ht="13.5" thickBot="1">
      <c r="V139" s="185">
        <v>89.4</v>
      </c>
      <c r="W139" s="180">
        <v>-0.15</v>
      </c>
      <c r="X139" s="180">
        <v>-0.3</v>
      </c>
      <c r="Y139" s="180">
        <v>-0.09</v>
      </c>
      <c r="Z139" s="181">
        <v>-0.3</v>
      </c>
      <c r="AA139" s="212" t="s">
        <v>160</v>
      </c>
      <c r="AB139" s="186">
        <v>-0.3</v>
      </c>
      <c r="AC139" s="92"/>
      <c r="AD139" s="197"/>
      <c r="AE139" s="149" t="e">
        <f t="shared" si="42"/>
        <v>#N/A</v>
      </c>
      <c r="AF139" s="150" t="e">
        <f t="shared" si="42"/>
        <v>#N/A</v>
      </c>
      <c r="AG139" s="150" t="e">
        <f t="shared" si="42"/>
        <v>#N/A</v>
      </c>
      <c r="AH139" s="150" t="e">
        <f t="shared" si="42"/>
        <v>#N/A</v>
      </c>
      <c r="AI139" s="150" t="e">
        <f t="shared" si="42"/>
        <v>#N/A</v>
      </c>
      <c r="AJ139" s="151" t="e">
        <f t="shared" si="42"/>
        <v>#N/A</v>
      </c>
      <c r="AK139" s="92"/>
      <c r="AL139" s="217"/>
      <c r="AM139" s="218" t="e">
        <f t="shared" si="35"/>
        <v>#N/A</v>
      </c>
      <c r="AN139" s="39" t="e">
        <f t="shared" si="36"/>
        <v>#N/A</v>
      </c>
      <c r="AO139" s="92"/>
      <c r="AP139" s="92"/>
      <c r="AQ139" s="92"/>
      <c r="AR139" s="92"/>
      <c r="AS139" s="92"/>
      <c r="AT139" s="92"/>
      <c r="AU139" s="92"/>
      <c r="AV139" s="92"/>
      <c r="AW139" s="92"/>
      <c r="AX139" s="92"/>
      <c r="AY139" s="92"/>
      <c r="BB139" s="618">
        <v>96.1999999999993</v>
      </c>
      <c r="BC139" s="619">
        <v>1.02</v>
      </c>
      <c r="BD139" s="619">
        <v>1.02</v>
      </c>
      <c r="BE139" s="618">
        <v>96.1999999999993</v>
      </c>
      <c r="BF139" s="619">
        <v>1.02</v>
      </c>
      <c r="BG139" s="619">
        <v>1.02</v>
      </c>
      <c r="BH139" s="623">
        <f t="shared" si="17"/>
        <v>1.02</v>
      </c>
      <c r="BI139" s="623">
        <f t="shared" si="22"/>
        <v>1.02</v>
      </c>
    </row>
    <row r="140" spans="22:61" ht="12.75">
      <c r="V140" s="185">
        <v>89.5</v>
      </c>
      <c r="W140" s="180">
        <v>-0.09</v>
      </c>
      <c r="X140" s="180">
        <v>-0.15</v>
      </c>
      <c r="Y140" s="180">
        <v>-0.09</v>
      </c>
      <c r="Z140" s="181">
        <v>-0.15</v>
      </c>
      <c r="AA140" s="212" t="s">
        <v>160</v>
      </c>
      <c r="AB140" s="186">
        <v>-0.15</v>
      </c>
      <c r="AC140" s="92"/>
      <c r="AD140" s="197"/>
      <c r="AE140" s="141">
        <f aca="true" t="shared" si="43" ref="AE140:AJ140">AE135</f>
        <v>0.01</v>
      </c>
      <c r="AF140" s="142" t="e">
        <f t="shared" si="43"/>
        <v>#N/A</v>
      </c>
      <c r="AG140" s="142" t="e">
        <f t="shared" si="43"/>
        <v>#N/A</v>
      </c>
      <c r="AH140" s="142" t="e">
        <f t="shared" si="43"/>
        <v>#N/A</v>
      </c>
      <c r="AI140" s="142" t="e">
        <f t="shared" si="43"/>
        <v>#N/A</v>
      </c>
      <c r="AJ140" s="143" t="e">
        <f t="shared" si="43"/>
        <v>#N/A</v>
      </c>
      <c r="AK140" s="92"/>
      <c r="AL140" s="217"/>
      <c r="AM140" s="218" t="e">
        <f t="shared" si="35"/>
        <v>#N/A</v>
      </c>
      <c r="AN140" s="39" t="e">
        <f t="shared" si="36"/>
        <v>#N/A</v>
      </c>
      <c r="AO140" s="92"/>
      <c r="AP140" s="92"/>
      <c r="AQ140" s="92"/>
      <c r="AR140" s="92"/>
      <c r="AS140" s="92"/>
      <c r="AT140" s="92"/>
      <c r="AU140" s="92"/>
      <c r="AV140" s="92"/>
      <c r="AW140" s="92"/>
      <c r="AX140" s="92"/>
      <c r="AY140" s="92"/>
      <c r="BB140" s="618">
        <v>96.2999999999993</v>
      </c>
      <c r="BC140" s="619">
        <v>1.02</v>
      </c>
      <c r="BD140" s="619">
        <v>1.02</v>
      </c>
      <c r="BE140" s="618">
        <v>96.2999999999993</v>
      </c>
      <c r="BF140" s="619">
        <v>1.02</v>
      </c>
      <c r="BG140" s="619">
        <v>1.02</v>
      </c>
      <c r="BH140" s="623">
        <f t="shared" si="17"/>
        <v>1.02</v>
      </c>
      <c r="BI140" s="623">
        <f t="shared" si="22"/>
        <v>1.02</v>
      </c>
    </row>
    <row r="141" spans="22:61" ht="12.75">
      <c r="V141" s="185">
        <v>89.6</v>
      </c>
      <c r="W141" s="180">
        <v>-0.09</v>
      </c>
      <c r="X141" s="180">
        <v>-0.15</v>
      </c>
      <c r="Y141" s="180">
        <v>-0.09</v>
      </c>
      <c r="Z141" s="181">
        <v>-0.15</v>
      </c>
      <c r="AA141" s="212" t="s">
        <v>160</v>
      </c>
      <c r="AB141" s="186">
        <v>-0.15</v>
      </c>
      <c r="AC141" s="92"/>
      <c r="AD141" s="197"/>
      <c r="AE141" s="144" t="e">
        <f aca="true" t="shared" si="44" ref="AE141:AJ144">IF(AE136=0,AE137,AE136)</f>
        <v>#DIV/0!</v>
      </c>
      <c r="AF141" s="134" t="e">
        <f t="shared" si="44"/>
        <v>#DIV/0!</v>
      </c>
      <c r="AG141" s="134" t="e">
        <f t="shared" si="44"/>
        <v>#DIV/0!</v>
      </c>
      <c r="AH141" s="134" t="e">
        <f t="shared" si="44"/>
        <v>#DIV/0!</v>
      </c>
      <c r="AI141" s="134" t="e">
        <f t="shared" si="44"/>
        <v>#DIV/0!</v>
      </c>
      <c r="AJ141" s="145" t="e">
        <f t="shared" si="44"/>
        <v>#DIV/0!</v>
      </c>
      <c r="AK141" s="92"/>
      <c r="AL141" s="217"/>
      <c r="AM141" s="218" t="e">
        <f t="shared" si="35"/>
        <v>#N/A</v>
      </c>
      <c r="AN141" s="39" t="e">
        <f t="shared" si="36"/>
        <v>#N/A</v>
      </c>
      <c r="AO141" s="92"/>
      <c r="AP141" s="92"/>
      <c r="AQ141" s="92"/>
      <c r="AR141" s="92"/>
      <c r="AS141" s="92"/>
      <c r="AT141" s="92"/>
      <c r="AU141" s="92"/>
      <c r="AV141" s="92"/>
      <c r="AW141" s="92"/>
      <c r="AX141" s="92"/>
      <c r="AY141" s="92"/>
      <c r="BB141" s="618">
        <v>96.3999999999993</v>
      </c>
      <c r="BC141" s="619">
        <v>1.02</v>
      </c>
      <c r="BD141" s="619">
        <v>1.02</v>
      </c>
      <c r="BE141" s="618">
        <v>96.3999999999993</v>
      </c>
      <c r="BF141" s="619">
        <v>1.02</v>
      </c>
      <c r="BG141" s="619">
        <v>1.02</v>
      </c>
      <c r="BH141" s="623">
        <f t="shared" si="17"/>
        <v>1.02</v>
      </c>
      <c r="BI141" s="623">
        <f t="shared" si="22"/>
        <v>1.02</v>
      </c>
    </row>
    <row r="142" spans="22:61" ht="12.75">
      <c r="V142" s="185">
        <v>89.7</v>
      </c>
      <c r="W142" s="180">
        <v>-0.09</v>
      </c>
      <c r="X142" s="180">
        <v>-0.15</v>
      </c>
      <c r="Y142" s="180">
        <v>-0.05</v>
      </c>
      <c r="Z142" s="181">
        <v>-0.15</v>
      </c>
      <c r="AA142" s="212" t="s">
        <v>160</v>
      </c>
      <c r="AB142" s="186">
        <v>-0.15</v>
      </c>
      <c r="AC142" s="92"/>
      <c r="AD142" s="197"/>
      <c r="AE142" s="144" t="e">
        <f t="shared" si="44"/>
        <v>#DIV/0!</v>
      </c>
      <c r="AF142" s="134" t="e">
        <f t="shared" si="44"/>
        <v>#DIV/0!</v>
      </c>
      <c r="AG142" s="134" t="e">
        <f t="shared" si="44"/>
        <v>#DIV/0!</v>
      </c>
      <c r="AH142" s="134" t="e">
        <f t="shared" si="44"/>
        <v>#DIV/0!</v>
      </c>
      <c r="AI142" s="134" t="e">
        <f t="shared" si="44"/>
        <v>#DIV/0!</v>
      </c>
      <c r="AJ142" s="145" t="e">
        <f t="shared" si="44"/>
        <v>#DIV/0!</v>
      </c>
      <c r="AK142" s="92"/>
      <c r="AL142" s="217">
        <v>4</v>
      </c>
      <c r="AM142" s="218" t="e">
        <f t="shared" si="35"/>
        <v>#N/A</v>
      </c>
      <c r="AN142" s="39" t="e">
        <f t="shared" si="36"/>
        <v>#N/A</v>
      </c>
      <c r="AO142" s="92"/>
      <c r="AP142" s="92"/>
      <c r="AQ142" s="92"/>
      <c r="AR142" s="92"/>
      <c r="AS142" s="92"/>
      <c r="AT142" s="92"/>
      <c r="AU142" s="92"/>
      <c r="AV142" s="92"/>
      <c r="AW142" s="92"/>
      <c r="AX142" s="92"/>
      <c r="AY142" s="92"/>
      <c r="BB142" s="618">
        <v>96.49999999999929</v>
      </c>
      <c r="BC142" s="619">
        <v>1.02</v>
      </c>
      <c r="BD142" s="619">
        <v>1.02</v>
      </c>
      <c r="BE142" s="618">
        <v>96.49999999999929</v>
      </c>
      <c r="BF142" s="619">
        <v>1.02</v>
      </c>
      <c r="BG142" s="619">
        <v>1.02</v>
      </c>
      <c r="BH142" s="623">
        <f t="shared" si="17"/>
        <v>1.02</v>
      </c>
      <c r="BI142" s="623">
        <f t="shared" si="22"/>
        <v>1.02</v>
      </c>
    </row>
    <row r="143" spans="22:61" ht="12.75">
      <c r="V143" s="185">
        <v>89.8</v>
      </c>
      <c r="W143" s="180">
        <v>-0.09</v>
      </c>
      <c r="X143" s="180">
        <v>-0.15</v>
      </c>
      <c r="Y143" s="180">
        <v>-0.05</v>
      </c>
      <c r="Z143" s="181">
        <v>-0.15</v>
      </c>
      <c r="AA143" s="212" t="s">
        <v>160</v>
      </c>
      <c r="AB143" s="186">
        <v>-0.15</v>
      </c>
      <c r="AC143" s="92"/>
      <c r="AD143" s="197"/>
      <c r="AE143" s="144" t="e">
        <f t="shared" si="44"/>
        <v>#DIV/0!</v>
      </c>
      <c r="AF143" s="134" t="e">
        <f t="shared" si="44"/>
        <v>#DIV/0!</v>
      </c>
      <c r="AG143" s="134" t="e">
        <f t="shared" si="44"/>
        <v>#DIV/0!</v>
      </c>
      <c r="AH143" s="134" t="e">
        <f t="shared" si="44"/>
        <v>#DIV/0!</v>
      </c>
      <c r="AI143" s="134" t="e">
        <f t="shared" si="44"/>
        <v>#DIV/0!</v>
      </c>
      <c r="AJ143" s="145" t="e">
        <f t="shared" si="44"/>
        <v>#DIV/0!</v>
      </c>
      <c r="AK143" s="92"/>
      <c r="AL143" s="217"/>
      <c r="AM143" s="218" t="e">
        <f t="shared" si="35"/>
        <v>#N/A</v>
      </c>
      <c r="AN143" s="39" t="e">
        <f t="shared" si="36"/>
        <v>#N/A</v>
      </c>
      <c r="AO143" s="92"/>
      <c r="AP143" s="92"/>
      <c r="AQ143" s="92"/>
      <c r="AR143" s="92"/>
      <c r="AS143" s="92"/>
      <c r="AT143" s="92"/>
      <c r="AU143" s="92"/>
      <c r="AV143" s="92"/>
      <c r="AW143" s="92"/>
      <c r="AX143" s="92"/>
      <c r="AY143" s="92"/>
      <c r="BB143" s="618">
        <v>96.59999999999928</v>
      </c>
      <c r="BC143" s="619">
        <v>1.02</v>
      </c>
      <c r="BD143" s="619">
        <v>1.02</v>
      </c>
      <c r="BE143" s="618">
        <v>96.59999999999928</v>
      </c>
      <c r="BF143" s="619">
        <v>1.02</v>
      </c>
      <c r="BG143" s="619">
        <v>1.02</v>
      </c>
      <c r="BH143" s="623">
        <f t="shared" si="17"/>
        <v>1.02</v>
      </c>
      <c r="BI143" s="623">
        <f t="shared" si="22"/>
        <v>1.02</v>
      </c>
    </row>
    <row r="144" spans="22:61" ht="13.5" thickBot="1">
      <c r="V144" s="185">
        <v>89.9</v>
      </c>
      <c r="W144" s="180">
        <v>-0.09</v>
      </c>
      <c r="X144" s="180">
        <v>-0.15</v>
      </c>
      <c r="Y144" s="180">
        <v>-0.05</v>
      </c>
      <c r="Z144" s="181">
        <v>-0.15</v>
      </c>
      <c r="AA144" s="212" t="s">
        <v>160</v>
      </c>
      <c r="AB144" s="186">
        <v>-0.15</v>
      </c>
      <c r="AC144" s="92"/>
      <c r="AD144" s="197"/>
      <c r="AE144" s="149" t="e">
        <f t="shared" si="44"/>
        <v>#N/A</v>
      </c>
      <c r="AF144" s="150" t="e">
        <f t="shared" si="44"/>
        <v>#N/A</v>
      </c>
      <c r="AG144" s="150" t="e">
        <f t="shared" si="44"/>
        <v>#N/A</v>
      </c>
      <c r="AH144" s="150" t="e">
        <f t="shared" si="44"/>
        <v>#N/A</v>
      </c>
      <c r="AI144" s="150" t="e">
        <f t="shared" si="44"/>
        <v>#N/A</v>
      </c>
      <c r="AJ144" s="151" t="e">
        <f t="shared" si="44"/>
        <v>#N/A</v>
      </c>
      <c r="AK144" s="92"/>
      <c r="AL144" s="217"/>
      <c r="AM144" s="218" t="e">
        <f t="shared" si="35"/>
        <v>#N/A</v>
      </c>
      <c r="AN144" s="39" t="e">
        <f t="shared" si="36"/>
        <v>#N/A</v>
      </c>
      <c r="AO144" s="92"/>
      <c r="AP144" s="92"/>
      <c r="AQ144" s="92"/>
      <c r="AR144" s="92"/>
      <c r="AS144" s="92"/>
      <c r="AT144" s="92"/>
      <c r="AU144" s="92"/>
      <c r="AV144" s="92"/>
      <c r="AW144" s="92"/>
      <c r="AX144" s="92"/>
      <c r="AY144" s="92"/>
      <c r="BB144" s="618">
        <v>96.69999999999928</v>
      </c>
      <c r="BC144" s="619">
        <v>1.02</v>
      </c>
      <c r="BD144" s="619">
        <v>1.02</v>
      </c>
      <c r="BE144" s="618">
        <v>96.69999999999928</v>
      </c>
      <c r="BF144" s="619">
        <v>1.02</v>
      </c>
      <c r="BG144" s="619">
        <v>1.02</v>
      </c>
      <c r="BH144" s="623">
        <f t="shared" si="17"/>
        <v>1.02</v>
      </c>
      <c r="BI144" s="623">
        <f t="shared" si="22"/>
        <v>1.02</v>
      </c>
    </row>
    <row r="145" spans="22:61" ht="12.75">
      <c r="V145" s="185">
        <v>90</v>
      </c>
      <c r="W145" s="180">
        <v>-0.05</v>
      </c>
      <c r="X145" s="180">
        <v>-0.09</v>
      </c>
      <c r="Y145" s="180">
        <v>-0.02</v>
      </c>
      <c r="Z145" s="180">
        <v>-0.09</v>
      </c>
      <c r="AA145" s="181">
        <v>-0.3</v>
      </c>
      <c r="AB145" s="186">
        <v>-0.09</v>
      </c>
      <c r="AC145" s="92"/>
      <c r="AD145" s="197"/>
      <c r="AE145" s="141">
        <f aca="true" t="shared" si="45" ref="AE145:AJ146">AE140</f>
        <v>0.01</v>
      </c>
      <c r="AF145" s="142" t="e">
        <f t="shared" si="45"/>
        <v>#N/A</v>
      </c>
      <c r="AG145" s="142" t="e">
        <f t="shared" si="45"/>
        <v>#N/A</v>
      </c>
      <c r="AH145" s="142" t="e">
        <f t="shared" si="45"/>
        <v>#N/A</v>
      </c>
      <c r="AI145" s="142" t="e">
        <f t="shared" si="45"/>
        <v>#N/A</v>
      </c>
      <c r="AJ145" s="143" t="e">
        <f t="shared" si="45"/>
        <v>#N/A</v>
      </c>
      <c r="AK145" s="92"/>
      <c r="AL145" s="217"/>
      <c r="AM145" s="218" t="e">
        <f t="shared" si="35"/>
        <v>#N/A</v>
      </c>
      <c r="AN145" s="39" t="e">
        <f t="shared" si="36"/>
        <v>#N/A</v>
      </c>
      <c r="AO145" s="92"/>
      <c r="AP145" s="92"/>
      <c r="AQ145" s="92"/>
      <c r="AR145" s="92"/>
      <c r="AS145" s="92"/>
      <c r="AT145" s="92"/>
      <c r="AU145" s="92"/>
      <c r="AV145" s="92"/>
      <c r="AW145" s="92"/>
      <c r="AX145" s="92"/>
      <c r="AY145" s="92"/>
      <c r="BB145" s="618">
        <v>96.79999999999927</v>
      </c>
      <c r="BC145" s="619">
        <v>1.02</v>
      </c>
      <c r="BD145" s="619">
        <v>1.02</v>
      </c>
      <c r="BE145" s="618">
        <v>96.79999999999927</v>
      </c>
      <c r="BF145" s="619">
        <v>1.02</v>
      </c>
      <c r="BG145" s="619">
        <v>1.02</v>
      </c>
      <c r="BH145" s="623">
        <f t="shared" si="17"/>
        <v>1.02</v>
      </c>
      <c r="BI145" s="623">
        <f t="shared" si="22"/>
        <v>1.02</v>
      </c>
    </row>
    <row r="146" spans="22:61" ht="12.75">
      <c r="V146" s="185">
        <v>90.1</v>
      </c>
      <c r="W146" s="180">
        <v>-0.05</v>
      </c>
      <c r="X146" s="180">
        <v>-0.09</v>
      </c>
      <c r="Y146" s="180">
        <v>-0.02</v>
      </c>
      <c r="Z146" s="180">
        <v>-0.09</v>
      </c>
      <c r="AA146" s="181">
        <v>-0.3</v>
      </c>
      <c r="AB146" s="186">
        <v>-0.09</v>
      </c>
      <c r="AC146" s="92"/>
      <c r="AD146" s="197"/>
      <c r="AE146" s="144" t="e">
        <f t="shared" si="45"/>
        <v>#DIV/0!</v>
      </c>
      <c r="AF146" s="134" t="e">
        <f t="shared" si="45"/>
        <v>#DIV/0!</v>
      </c>
      <c r="AG146" s="134" t="e">
        <f t="shared" si="45"/>
        <v>#DIV/0!</v>
      </c>
      <c r="AH146" s="134" t="e">
        <f t="shared" si="45"/>
        <v>#DIV/0!</v>
      </c>
      <c r="AI146" s="134" t="e">
        <f t="shared" si="45"/>
        <v>#DIV/0!</v>
      </c>
      <c r="AJ146" s="145" t="e">
        <f t="shared" si="45"/>
        <v>#DIV/0!</v>
      </c>
      <c r="AK146" s="92"/>
      <c r="AL146" s="217">
        <v>5</v>
      </c>
      <c r="AM146" s="218" t="e">
        <f t="shared" si="35"/>
        <v>#N/A</v>
      </c>
      <c r="AN146" s="39" t="e">
        <f t="shared" si="36"/>
        <v>#N/A</v>
      </c>
      <c r="AO146" s="92"/>
      <c r="AP146" s="92"/>
      <c r="AQ146" s="92"/>
      <c r="AR146" s="92"/>
      <c r="AS146" s="92"/>
      <c r="AT146" s="92"/>
      <c r="AU146" s="92"/>
      <c r="AV146" s="92"/>
      <c r="AW146" s="92"/>
      <c r="AX146" s="92"/>
      <c r="AY146" s="92"/>
      <c r="BB146" s="618">
        <v>96.89999999999927</v>
      </c>
      <c r="BC146" s="619">
        <v>1.02</v>
      </c>
      <c r="BD146" s="619">
        <v>1.02</v>
      </c>
      <c r="BE146" s="618">
        <v>96.89999999999927</v>
      </c>
      <c r="BF146" s="619">
        <v>1.02</v>
      </c>
      <c r="BG146" s="619">
        <v>1.02</v>
      </c>
      <c r="BH146" s="623">
        <f aca="true" t="shared" si="46" ref="BH146:BI161">+IF((OR(($AK$81=3),($AK$81=2))),BC146,BF146)</f>
        <v>1.02</v>
      </c>
      <c r="BI146" s="623">
        <f t="shared" si="46"/>
        <v>1.02</v>
      </c>
    </row>
    <row r="147" spans="22:61" ht="12.75">
      <c r="V147" s="185">
        <v>90.2</v>
      </c>
      <c r="W147" s="180">
        <v>-0.05</v>
      </c>
      <c r="X147" s="180">
        <v>-0.09</v>
      </c>
      <c r="Y147" s="180">
        <v>-0.02</v>
      </c>
      <c r="Z147" s="180">
        <v>-0.09</v>
      </c>
      <c r="AA147" s="181">
        <v>-0.3</v>
      </c>
      <c r="AB147" s="186">
        <v>-0.09</v>
      </c>
      <c r="AC147" s="92"/>
      <c r="AD147" s="197"/>
      <c r="AE147" s="144" t="e">
        <f aca="true" t="shared" si="47" ref="AE147:AJ149">IF(AE142=AE141,AE143,AE142)</f>
        <v>#DIV/0!</v>
      </c>
      <c r="AF147" s="134" t="e">
        <f t="shared" si="47"/>
        <v>#DIV/0!</v>
      </c>
      <c r="AG147" s="134" t="e">
        <f t="shared" si="47"/>
        <v>#DIV/0!</v>
      </c>
      <c r="AH147" s="134" t="e">
        <f t="shared" si="47"/>
        <v>#DIV/0!</v>
      </c>
      <c r="AI147" s="134" t="e">
        <f t="shared" si="47"/>
        <v>#DIV/0!</v>
      </c>
      <c r="AJ147" s="145" t="e">
        <f t="shared" si="47"/>
        <v>#DIV/0!</v>
      </c>
      <c r="AK147" s="92"/>
      <c r="AL147" s="217"/>
      <c r="AM147" s="218" t="e">
        <f t="shared" si="35"/>
        <v>#N/A</v>
      </c>
      <c r="AN147" s="39" t="e">
        <f t="shared" si="36"/>
        <v>#N/A</v>
      </c>
      <c r="AO147" s="92"/>
      <c r="AP147" s="92"/>
      <c r="AQ147" s="92"/>
      <c r="AR147" s="92"/>
      <c r="AS147" s="92"/>
      <c r="AT147" s="92"/>
      <c r="AU147" s="92"/>
      <c r="AV147" s="92"/>
      <c r="AW147" s="92"/>
      <c r="AX147" s="92"/>
      <c r="AY147" s="92"/>
      <c r="BB147" s="618">
        <v>96.99999999999926</v>
      </c>
      <c r="BC147" s="619">
        <v>1.02</v>
      </c>
      <c r="BD147" s="619">
        <v>1.02</v>
      </c>
      <c r="BE147" s="618">
        <v>96.99999999999926</v>
      </c>
      <c r="BF147" s="619">
        <v>1.02</v>
      </c>
      <c r="BG147" s="619">
        <v>1.02</v>
      </c>
      <c r="BH147" s="623">
        <f t="shared" si="46"/>
        <v>1.02</v>
      </c>
      <c r="BI147" s="623">
        <f t="shared" si="46"/>
        <v>1.02</v>
      </c>
    </row>
    <row r="148" spans="22:61" ht="12.75">
      <c r="V148" s="185">
        <v>90.3</v>
      </c>
      <c r="W148" s="180">
        <v>-0.05</v>
      </c>
      <c r="X148" s="180">
        <v>-0.09</v>
      </c>
      <c r="Y148" s="180">
        <v>-0.02</v>
      </c>
      <c r="Z148" s="180">
        <v>-0.09</v>
      </c>
      <c r="AA148" s="181">
        <v>-0.3</v>
      </c>
      <c r="AB148" s="186">
        <v>-0.09</v>
      </c>
      <c r="AC148" s="92"/>
      <c r="AD148" s="197"/>
      <c r="AE148" s="144" t="e">
        <f t="shared" si="47"/>
        <v>#DIV/0!</v>
      </c>
      <c r="AF148" s="134" t="e">
        <f t="shared" si="47"/>
        <v>#DIV/0!</v>
      </c>
      <c r="AG148" s="134" t="e">
        <f t="shared" si="47"/>
        <v>#DIV/0!</v>
      </c>
      <c r="AH148" s="134" t="e">
        <f t="shared" si="47"/>
        <v>#DIV/0!</v>
      </c>
      <c r="AI148" s="134" t="e">
        <f t="shared" si="47"/>
        <v>#DIV/0!</v>
      </c>
      <c r="AJ148" s="145" t="e">
        <f t="shared" si="47"/>
        <v>#DIV/0!</v>
      </c>
      <c r="AK148" s="92"/>
      <c r="AL148" s="217"/>
      <c r="AM148" s="218" t="e">
        <f t="shared" si="35"/>
        <v>#N/A</v>
      </c>
      <c r="AN148" s="39" t="e">
        <f t="shared" si="36"/>
        <v>#N/A</v>
      </c>
      <c r="AO148" s="92"/>
      <c r="AP148" s="92"/>
      <c r="AQ148" s="92"/>
      <c r="AR148" s="92"/>
      <c r="AS148" s="92"/>
      <c r="AT148" s="92"/>
      <c r="AU148" s="92"/>
      <c r="AV148" s="92"/>
      <c r="AW148" s="92"/>
      <c r="AX148" s="92"/>
      <c r="AY148" s="92"/>
      <c r="BB148" s="618">
        <v>97.09999999999926</v>
      </c>
      <c r="BC148" s="619">
        <v>1.02</v>
      </c>
      <c r="BD148" s="619">
        <v>1.02</v>
      </c>
      <c r="BE148" s="618">
        <v>97.09999999999926</v>
      </c>
      <c r="BF148" s="619">
        <v>1.02</v>
      </c>
      <c r="BG148" s="619">
        <v>1.02</v>
      </c>
      <c r="BH148" s="623">
        <f t="shared" si="46"/>
        <v>1.02</v>
      </c>
      <c r="BI148" s="623">
        <f t="shared" si="46"/>
        <v>1.02</v>
      </c>
    </row>
    <row r="149" spans="22:61" ht="13.5" thickBot="1">
      <c r="V149" s="185">
        <v>90.4</v>
      </c>
      <c r="W149" s="180">
        <v>-0.05</v>
      </c>
      <c r="X149" s="180">
        <v>-0.09</v>
      </c>
      <c r="Y149" s="180">
        <v>-0.02</v>
      </c>
      <c r="Z149" s="180">
        <v>-0.09</v>
      </c>
      <c r="AA149" s="181">
        <v>-0.3</v>
      </c>
      <c r="AB149" s="186">
        <v>-0.09</v>
      </c>
      <c r="AC149" s="92"/>
      <c r="AD149" s="197"/>
      <c r="AE149" s="146" t="e">
        <f t="shared" si="47"/>
        <v>#N/A</v>
      </c>
      <c r="AF149" s="147" t="e">
        <f t="shared" si="47"/>
        <v>#N/A</v>
      </c>
      <c r="AG149" s="147" t="e">
        <f t="shared" si="47"/>
        <v>#N/A</v>
      </c>
      <c r="AH149" s="147" t="e">
        <f t="shared" si="47"/>
        <v>#N/A</v>
      </c>
      <c r="AI149" s="147" t="e">
        <f t="shared" si="47"/>
        <v>#N/A</v>
      </c>
      <c r="AJ149" s="148" t="e">
        <f t="shared" si="47"/>
        <v>#N/A</v>
      </c>
      <c r="AK149" s="92"/>
      <c r="AL149" s="217"/>
      <c r="AM149" s="218" t="e">
        <f t="shared" si="35"/>
        <v>#N/A</v>
      </c>
      <c r="AN149" s="39" t="e">
        <f t="shared" si="36"/>
        <v>#N/A</v>
      </c>
      <c r="AO149" s="92"/>
      <c r="AP149" s="92"/>
      <c r="AQ149" s="92"/>
      <c r="AR149" s="92"/>
      <c r="AS149" s="92"/>
      <c r="AT149" s="92"/>
      <c r="AU149" s="92"/>
      <c r="AV149" s="92"/>
      <c r="AW149" s="92"/>
      <c r="AX149" s="92"/>
      <c r="AY149" s="92"/>
      <c r="BB149" s="618">
        <v>97.19999999999925</v>
      </c>
      <c r="BC149" s="619">
        <v>1.02</v>
      </c>
      <c r="BD149" s="619">
        <v>1.02</v>
      </c>
      <c r="BE149" s="618">
        <v>97.19999999999925</v>
      </c>
      <c r="BF149" s="619">
        <v>1.02</v>
      </c>
      <c r="BG149" s="619">
        <v>1.02</v>
      </c>
      <c r="BH149" s="623">
        <f t="shared" si="46"/>
        <v>1.02</v>
      </c>
      <c r="BI149" s="623">
        <f t="shared" si="46"/>
        <v>1.02</v>
      </c>
    </row>
    <row r="150" spans="22:61" ht="13.5" thickBot="1">
      <c r="V150" s="185">
        <v>90.5</v>
      </c>
      <c r="W150" s="180">
        <v>-0.02</v>
      </c>
      <c r="X150" s="180">
        <v>-0.05</v>
      </c>
      <c r="Y150" s="180">
        <v>-0.02</v>
      </c>
      <c r="Z150" s="181">
        <v>-0.05</v>
      </c>
      <c r="AA150" s="181">
        <v>-0.15</v>
      </c>
      <c r="AB150" s="186">
        <v>-0.05</v>
      </c>
      <c r="AC150" s="92"/>
      <c r="AD150" s="197"/>
      <c r="AE150" s="139"/>
      <c r="AF150" s="140"/>
      <c r="AG150" s="140"/>
      <c r="AH150" s="140"/>
      <c r="AI150" s="140"/>
      <c r="AJ150" s="140"/>
      <c r="AK150" s="92"/>
      <c r="AL150" s="217">
        <v>6</v>
      </c>
      <c r="AM150" s="218" t="e">
        <f t="shared" si="35"/>
        <v>#N/A</v>
      </c>
      <c r="AN150" s="39" t="e">
        <f t="shared" si="36"/>
        <v>#N/A</v>
      </c>
      <c r="AO150" s="92"/>
      <c r="AP150" s="92"/>
      <c r="AQ150" s="92"/>
      <c r="AR150" s="92"/>
      <c r="AS150" s="92"/>
      <c r="AT150" s="92"/>
      <c r="AU150" s="92"/>
      <c r="AV150" s="92"/>
      <c r="AW150" s="92"/>
      <c r="AX150" s="92"/>
      <c r="AY150" s="92"/>
      <c r="BB150" s="618">
        <v>97.29999999999924</v>
      </c>
      <c r="BC150" s="619">
        <v>1.02</v>
      </c>
      <c r="BD150" s="619">
        <v>1.02</v>
      </c>
      <c r="BE150" s="618">
        <v>97.29999999999924</v>
      </c>
      <c r="BF150" s="619">
        <v>1.02</v>
      </c>
      <c r="BG150" s="619">
        <v>1.02</v>
      </c>
      <c r="BH150" s="623">
        <f t="shared" si="46"/>
        <v>1.02</v>
      </c>
      <c r="BI150" s="623">
        <f t="shared" si="46"/>
        <v>1.02</v>
      </c>
    </row>
    <row r="151" spans="22:61" ht="12.75">
      <c r="V151" s="185">
        <v>90.6</v>
      </c>
      <c r="W151" s="180">
        <v>-0.02</v>
      </c>
      <c r="X151" s="180">
        <v>-0.05</v>
      </c>
      <c r="Y151" s="180">
        <v>-0.02</v>
      </c>
      <c r="Z151" s="181">
        <v>-0.05</v>
      </c>
      <c r="AA151" s="181">
        <v>-0.15</v>
      </c>
      <c r="AB151" s="186">
        <v>-0.05</v>
      </c>
      <c r="AC151" s="92"/>
      <c r="AD151" s="197"/>
      <c r="AE151" s="141">
        <f aca="true" t="shared" si="48" ref="AE151:AJ151">AE145</f>
        <v>0.01</v>
      </c>
      <c r="AF151" s="142" t="e">
        <f t="shared" si="48"/>
        <v>#N/A</v>
      </c>
      <c r="AG151" s="142" t="e">
        <f t="shared" si="48"/>
        <v>#N/A</v>
      </c>
      <c r="AH151" s="142" t="e">
        <f t="shared" si="48"/>
        <v>#N/A</v>
      </c>
      <c r="AI151" s="142" t="e">
        <f t="shared" si="48"/>
        <v>#N/A</v>
      </c>
      <c r="AJ151" s="143" t="e">
        <f t="shared" si="48"/>
        <v>#N/A</v>
      </c>
      <c r="AK151" s="92"/>
      <c r="AL151" s="217"/>
      <c r="AM151" s="218" t="e">
        <f t="shared" si="35"/>
        <v>#N/A</v>
      </c>
      <c r="AN151" s="39" t="e">
        <f t="shared" si="36"/>
        <v>#N/A</v>
      </c>
      <c r="AO151" s="92"/>
      <c r="AP151" s="92"/>
      <c r="AQ151" s="92"/>
      <c r="AR151" s="92"/>
      <c r="AS151" s="92"/>
      <c r="AT151" s="92"/>
      <c r="AU151" s="92"/>
      <c r="AV151" s="92"/>
      <c r="AW151" s="92"/>
      <c r="AX151" s="92"/>
      <c r="AY151" s="92"/>
      <c r="BB151" s="618">
        <v>97.39999999999924</v>
      </c>
      <c r="BC151" s="619">
        <v>1.02</v>
      </c>
      <c r="BD151" s="619">
        <v>1.02</v>
      </c>
      <c r="BE151" s="618">
        <v>97.39999999999924</v>
      </c>
      <c r="BF151" s="619">
        <v>1.02</v>
      </c>
      <c r="BG151" s="619">
        <v>1.02</v>
      </c>
      <c r="BH151" s="623">
        <f t="shared" si="46"/>
        <v>1.02</v>
      </c>
      <c r="BI151" s="623">
        <f t="shared" si="46"/>
        <v>1.02</v>
      </c>
    </row>
    <row r="152" spans="22:61" ht="12.75">
      <c r="V152" s="185">
        <v>90.7</v>
      </c>
      <c r="W152" s="180">
        <v>-0.02</v>
      </c>
      <c r="X152" s="180">
        <v>-0.05</v>
      </c>
      <c r="Y152" s="180">
        <v>-0.02</v>
      </c>
      <c r="Z152" s="181">
        <v>-0.05</v>
      </c>
      <c r="AA152" s="181">
        <v>-0.15</v>
      </c>
      <c r="AB152" s="186">
        <v>-0.05</v>
      </c>
      <c r="AC152" s="92"/>
      <c r="AD152" s="197"/>
      <c r="AE152" s="144" t="e">
        <f aca="true" t="shared" si="49" ref="AE152:AJ152">IF(AE146=AE147,AE147,AE146)</f>
        <v>#DIV/0!</v>
      </c>
      <c r="AF152" s="134" t="e">
        <f t="shared" si="49"/>
        <v>#DIV/0!</v>
      </c>
      <c r="AG152" s="134" t="e">
        <f t="shared" si="49"/>
        <v>#DIV/0!</v>
      </c>
      <c r="AH152" s="134" t="e">
        <f t="shared" si="49"/>
        <v>#DIV/0!</v>
      </c>
      <c r="AI152" s="134" t="e">
        <f t="shared" si="49"/>
        <v>#DIV/0!</v>
      </c>
      <c r="AJ152" s="145" t="e">
        <f t="shared" si="49"/>
        <v>#DIV/0!</v>
      </c>
      <c r="AK152" s="92"/>
      <c r="AL152" s="217"/>
      <c r="AM152" s="218" t="e">
        <f t="shared" si="35"/>
        <v>#N/A</v>
      </c>
      <c r="AN152" s="39" t="e">
        <f t="shared" si="36"/>
        <v>#N/A</v>
      </c>
      <c r="AO152" s="92"/>
      <c r="AP152" s="92"/>
      <c r="AQ152" s="92"/>
      <c r="AR152" s="92"/>
      <c r="AS152" s="92"/>
      <c r="AT152" s="92"/>
      <c r="AU152" s="92"/>
      <c r="AV152" s="92"/>
      <c r="AW152" s="92"/>
      <c r="AX152" s="92"/>
      <c r="AY152" s="92"/>
      <c r="BB152" s="618">
        <v>97.49999999999923</v>
      </c>
      <c r="BC152" s="619">
        <v>1.02</v>
      </c>
      <c r="BD152" s="619">
        <v>1.02</v>
      </c>
      <c r="BE152" s="618">
        <v>97.49999999999923</v>
      </c>
      <c r="BF152" s="619">
        <v>1.02</v>
      </c>
      <c r="BG152" s="619">
        <v>1.02</v>
      </c>
      <c r="BH152" s="623">
        <f t="shared" si="46"/>
        <v>1.02</v>
      </c>
      <c r="BI152" s="623">
        <f t="shared" si="46"/>
        <v>1.02</v>
      </c>
    </row>
    <row r="153" spans="22:61" ht="12.75">
      <c r="V153" s="185">
        <v>90.8</v>
      </c>
      <c r="W153" s="180">
        <v>-0.02</v>
      </c>
      <c r="X153" s="180">
        <v>-0.05</v>
      </c>
      <c r="Y153" s="180">
        <v>-0.02</v>
      </c>
      <c r="Z153" s="181">
        <v>-0.05</v>
      </c>
      <c r="AA153" s="181">
        <v>-0.15</v>
      </c>
      <c r="AB153" s="186">
        <v>-0.05</v>
      </c>
      <c r="AC153" s="92"/>
      <c r="AD153" s="197"/>
      <c r="AE153" s="144" t="e">
        <f aca="true" t="shared" si="50" ref="AE153:AJ153">IF(AE147=AE146,AE148,AE147)</f>
        <v>#DIV/0!</v>
      </c>
      <c r="AF153" s="134" t="e">
        <f t="shared" si="50"/>
        <v>#DIV/0!</v>
      </c>
      <c r="AG153" s="134" t="e">
        <f t="shared" si="50"/>
        <v>#DIV/0!</v>
      </c>
      <c r="AH153" s="134" t="e">
        <f t="shared" si="50"/>
        <v>#DIV/0!</v>
      </c>
      <c r="AI153" s="134" t="e">
        <f t="shared" si="50"/>
        <v>#DIV/0!</v>
      </c>
      <c r="AJ153" s="145" t="e">
        <f t="shared" si="50"/>
        <v>#DIV/0!</v>
      </c>
      <c r="AK153" s="92"/>
      <c r="AL153" s="217"/>
      <c r="AM153" s="217"/>
      <c r="AN153" s="219"/>
      <c r="AO153" s="92"/>
      <c r="AP153" s="92"/>
      <c r="AQ153" s="92"/>
      <c r="AR153" s="92"/>
      <c r="AS153" s="92"/>
      <c r="AT153" s="92"/>
      <c r="AU153" s="92"/>
      <c r="AV153" s="92"/>
      <c r="AW153" s="92"/>
      <c r="AX153" s="92"/>
      <c r="AY153" s="92"/>
      <c r="BB153" s="618">
        <v>97.59999999999923</v>
      </c>
      <c r="BC153" s="619">
        <v>1.02</v>
      </c>
      <c r="BD153" s="619">
        <v>1.02</v>
      </c>
      <c r="BE153" s="618">
        <v>97.59999999999923</v>
      </c>
      <c r="BF153" s="619">
        <v>1.02</v>
      </c>
      <c r="BG153" s="619">
        <v>1.02</v>
      </c>
      <c r="BH153" s="623">
        <f t="shared" si="46"/>
        <v>1.02</v>
      </c>
      <c r="BI153" s="623">
        <f t="shared" si="46"/>
        <v>1.02</v>
      </c>
    </row>
    <row r="154" spans="22:61" ht="12.75">
      <c r="V154" s="185">
        <v>90.9</v>
      </c>
      <c r="W154" s="180">
        <v>-0.02</v>
      </c>
      <c r="X154" s="180">
        <v>-0.05</v>
      </c>
      <c r="Y154" s="180">
        <v>-0.02</v>
      </c>
      <c r="Z154" s="181">
        <v>-0.05</v>
      </c>
      <c r="AA154" s="181">
        <v>-0.15</v>
      </c>
      <c r="AB154" s="186">
        <v>-0.05</v>
      </c>
      <c r="AC154" s="92"/>
      <c r="AD154" s="175"/>
      <c r="AE154" s="144" t="e">
        <f aca="true" t="shared" si="51" ref="AE154:AJ154">IF(AE148="","",IF(AE148=AE147,AE149,AE148))</f>
        <v>#DIV/0!</v>
      </c>
      <c r="AF154" s="134" t="e">
        <f t="shared" si="51"/>
        <v>#DIV/0!</v>
      </c>
      <c r="AG154" s="134" t="e">
        <f t="shared" si="51"/>
        <v>#DIV/0!</v>
      </c>
      <c r="AH154" s="134" t="e">
        <f t="shared" si="51"/>
        <v>#DIV/0!</v>
      </c>
      <c r="AI154" s="134" t="e">
        <f t="shared" si="51"/>
        <v>#DIV/0!</v>
      </c>
      <c r="AJ154" s="145" t="e">
        <f t="shared" si="51"/>
        <v>#DIV/0!</v>
      </c>
      <c r="AK154" s="92"/>
      <c r="AL154" s="217"/>
      <c r="AM154" s="217"/>
      <c r="AN154" s="219"/>
      <c r="AO154" s="92"/>
      <c r="AP154" s="92"/>
      <c r="AQ154" s="92"/>
      <c r="AR154" s="92"/>
      <c r="AS154" s="92"/>
      <c r="AT154" s="92"/>
      <c r="AU154" s="92"/>
      <c r="AV154" s="92"/>
      <c r="AW154" s="92"/>
      <c r="AX154" s="92"/>
      <c r="AY154" s="92"/>
      <c r="BB154" s="620">
        <v>97.69999999999922</v>
      </c>
      <c r="BC154" s="619">
        <v>1.02</v>
      </c>
      <c r="BD154" s="619">
        <v>1.02</v>
      </c>
      <c r="BE154" s="620">
        <v>97.69999999999922</v>
      </c>
      <c r="BF154" s="619">
        <v>1.02</v>
      </c>
      <c r="BG154" s="619">
        <v>1.02</v>
      </c>
      <c r="BH154" s="623">
        <f t="shared" si="46"/>
        <v>1.02</v>
      </c>
      <c r="BI154" s="623">
        <f t="shared" si="46"/>
        <v>1.02</v>
      </c>
    </row>
    <row r="155" spans="22:61" ht="13.5" thickBot="1">
      <c r="V155" s="185">
        <v>91</v>
      </c>
      <c r="W155" s="180">
        <v>-0.02</v>
      </c>
      <c r="X155" s="180">
        <v>-0.02</v>
      </c>
      <c r="Y155" s="180">
        <v>0</v>
      </c>
      <c r="Z155" s="181">
        <v>-0.02</v>
      </c>
      <c r="AA155" s="180">
        <v>-0.09</v>
      </c>
      <c r="AB155" s="186">
        <v>-0.02</v>
      </c>
      <c r="AC155" s="92"/>
      <c r="AD155" s="175"/>
      <c r="AE155" s="146" t="e">
        <f aca="true" t="shared" si="52" ref="AE155:AJ155">IF(AE149="","",IF(AE149=AE148,"",AE149))</f>
        <v>#N/A</v>
      </c>
      <c r="AF155" s="146" t="e">
        <f t="shared" si="52"/>
        <v>#N/A</v>
      </c>
      <c r="AG155" s="146" t="e">
        <f t="shared" si="52"/>
        <v>#N/A</v>
      </c>
      <c r="AH155" s="146" t="e">
        <f t="shared" si="52"/>
        <v>#N/A</v>
      </c>
      <c r="AI155" s="146" t="e">
        <f t="shared" si="52"/>
        <v>#N/A</v>
      </c>
      <c r="AJ155" s="146" t="e">
        <f t="shared" si="52"/>
        <v>#N/A</v>
      </c>
      <c r="AK155" s="92"/>
      <c r="AL155" s="217"/>
      <c r="AM155" s="219" t="e">
        <f>SUM(AM130:AM152)</f>
        <v>#N/A</v>
      </c>
      <c r="AN155" s="219" t="e">
        <f>SUM(AN130:AN152)</f>
        <v>#N/A</v>
      </c>
      <c r="AO155" s="92"/>
      <c r="AP155" s="92"/>
      <c r="AQ155" s="92"/>
      <c r="AR155" s="92"/>
      <c r="AS155" s="92"/>
      <c r="AT155" s="92"/>
      <c r="AU155" s="92"/>
      <c r="AV155" s="92"/>
      <c r="AW155" s="92"/>
      <c r="AX155" s="92"/>
      <c r="AY155" s="92"/>
      <c r="BB155" s="620">
        <v>97.79999999999922</v>
      </c>
      <c r="BC155" s="619">
        <v>1.02</v>
      </c>
      <c r="BD155" s="619">
        <v>1.02</v>
      </c>
      <c r="BE155" s="620">
        <v>97.79999999999922</v>
      </c>
      <c r="BF155" s="619">
        <v>1.02</v>
      </c>
      <c r="BG155" s="619">
        <v>1.02</v>
      </c>
      <c r="BH155" s="623">
        <f t="shared" si="46"/>
        <v>1.02</v>
      </c>
      <c r="BI155" s="623">
        <f t="shared" si="46"/>
        <v>1.02</v>
      </c>
    </row>
    <row r="156" spans="22:61" ht="13.5" thickBot="1">
      <c r="V156" s="185">
        <v>91.1</v>
      </c>
      <c r="W156" s="180">
        <v>-0.02</v>
      </c>
      <c r="X156" s="180">
        <v>-0.02</v>
      </c>
      <c r="Y156" s="180">
        <v>0</v>
      </c>
      <c r="Z156" s="181">
        <v>-0.02</v>
      </c>
      <c r="AA156" s="180">
        <v>-0.09</v>
      </c>
      <c r="AB156" s="186">
        <v>-0.02</v>
      </c>
      <c r="AC156" s="92"/>
      <c r="AD156" s="175"/>
      <c r="AE156" s="200"/>
      <c r="AF156" s="211"/>
      <c r="AG156" s="211"/>
      <c r="AH156" s="211"/>
      <c r="AI156" s="211"/>
      <c r="AJ156" s="211"/>
      <c r="AK156" s="92"/>
      <c r="AL156" s="220"/>
      <c r="AM156" s="220"/>
      <c r="AN156" s="15"/>
      <c r="AO156" s="92"/>
      <c r="AP156" s="92"/>
      <c r="AQ156" s="92"/>
      <c r="AR156" s="92"/>
      <c r="AS156" s="92"/>
      <c r="AT156" s="92"/>
      <c r="AU156" s="92"/>
      <c r="AV156" s="92"/>
      <c r="AW156" s="92"/>
      <c r="AX156" s="92"/>
      <c r="AY156" s="92"/>
      <c r="BB156" s="620">
        <v>97.89999999999921</v>
      </c>
      <c r="BC156" s="619">
        <v>1.02</v>
      </c>
      <c r="BD156" s="619">
        <v>1.02</v>
      </c>
      <c r="BE156" s="620">
        <v>97.89999999999921</v>
      </c>
      <c r="BF156" s="619">
        <v>1.02</v>
      </c>
      <c r="BG156" s="619">
        <v>1.02</v>
      </c>
      <c r="BH156" s="623">
        <f t="shared" si="46"/>
        <v>1.02</v>
      </c>
      <c r="BI156" s="623">
        <f t="shared" si="46"/>
        <v>1.02</v>
      </c>
    </row>
    <row r="157" spans="22:61" ht="12.75">
      <c r="V157" s="185">
        <v>91.2</v>
      </c>
      <c r="W157" s="180">
        <v>-0.02</v>
      </c>
      <c r="X157" s="180">
        <v>-0.02</v>
      </c>
      <c r="Y157" s="180">
        <v>0</v>
      </c>
      <c r="Z157" s="181">
        <v>-0.02</v>
      </c>
      <c r="AA157" s="180">
        <v>-0.09</v>
      </c>
      <c r="AB157" s="186">
        <v>-0.02</v>
      </c>
      <c r="AC157" s="92"/>
      <c r="AD157" s="175"/>
      <c r="AE157" s="155" t="e">
        <f aca="true" t="shared" si="53" ref="AE157:AJ157">AE152-AE151</f>
        <v>#DIV/0!</v>
      </c>
      <c r="AF157" s="156" t="e">
        <f t="shared" si="53"/>
        <v>#DIV/0!</v>
      </c>
      <c r="AG157" s="156" t="e">
        <f t="shared" si="53"/>
        <v>#DIV/0!</v>
      </c>
      <c r="AH157" s="156" t="e">
        <f t="shared" si="53"/>
        <v>#DIV/0!</v>
      </c>
      <c r="AI157" s="156" t="e">
        <f t="shared" si="53"/>
        <v>#DIV/0!</v>
      </c>
      <c r="AJ157" s="157" t="e">
        <f t="shared" si="53"/>
        <v>#DIV/0!</v>
      </c>
      <c r="AK157" s="92"/>
      <c r="AL157" s="15"/>
      <c r="AM157" s="15"/>
      <c r="AN157" s="15"/>
      <c r="AO157" s="92"/>
      <c r="AP157" s="92"/>
      <c r="AQ157" s="92"/>
      <c r="AR157" s="92"/>
      <c r="AS157" s="92"/>
      <c r="AT157" s="92"/>
      <c r="AU157" s="92"/>
      <c r="AV157" s="92"/>
      <c r="AW157" s="92"/>
      <c r="AX157" s="92"/>
      <c r="AY157" s="92"/>
      <c r="BB157" s="620">
        <v>97.9999999999992</v>
      </c>
      <c r="BC157" s="619">
        <v>1.02</v>
      </c>
      <c r="BD157" s="619">
        <v>1.02</v>
      </c>
      <c r="BE157" s="620">
        <v>97.9999999999992</v>
      </c>
      <c r="BF157" s="619">
        <v>1.02</v>
      </c>
      <c r="BG157" s="619">
        <v>1.02</v>
      </c>
      <c r="BH157" s="623">
        <f t="shared" si="46"/>
        <v>1.02</v>
      </c>
      <c r="BI157" s="623">
        <f t="shared" si="46"/>
        <v>1.02</v>
      </c>
    </row>
    <row r="158" spans="22:61" ht="12.75">
      <c r="V158" s="185">
        <v>91.3</v>
      </c>
      <c r="W158" s="180">
        <v>-0.02</v>
      </c>
      <c r="X158" s="180">
        <v>-0.02</v>
      </c>
      <c r="Y158" s="180">
        <v>0</v>
      </c>
      <c r="Z158" s="181">
        <v>-0.02</v>
      </c>
      <c r="AA158" s="180">
        <v>-0.09</v>
      </c>
      <c r="AB158" s="186">
        <v>-0.02</v>
      </c>
      <c r="AC158" s="92"/>
      <c r="AD158" s="175"/>
      <c r="AE158" s="158" t="e">
        <f>IF(AE153="","",IF(AE153=AE152,"",AE153-AE152))</f>
        <v>#DIV/0!</v>
      </c>
      <c r="AF158" s="135" t="e">
        <f aca="true" t="shared" si="54" ref="AF158:AJ160">IF(AF153="","",AF153-AF152)</f>
        <v>#DIV/0!</v>
      </c>
      <c r="AG158" s="135" t="e">
        <f t="shared" si="54"/>
        <v>#DIV/0!</v>
      </c>
      <c r="AH158" s="135" t="e">
        <f t="shared" si="54"/>
        <v>#DIV/0!</v>
      </c>
      <c r="AI158" s="135" t="e">
        <f t="shared" si="54"/>
        <v>#DIV/0!</v>
      </c>
      <c r="AJ158" s="159" t="e">
        <f t="shared" si="54"/>
        <v>#DIV/0!</v>
      </c>
      <c r="AK158" s="92"/>
      <c r="AL158" s="92"/>
      <c r="AM158" s="92"/>
      <c r="AN158" s="92"/>
      <c r="AO158" s="92"/>
      <c r="AP158" s="92"/>
      <c r="AQ158" s="92"/>
      <c r="AR158" s="92"/>
      <c r="AS158" s="92"/>
      <c r="AT158" s="92"/>
      <c r="AU158" s="92"/>
      <c r="AV158" s="92"/>
      <c r="AW158" s="92"/>
      <c r="AX158" s="92"/>
      <c r="AY158" s="92"/>
      <c r="BB158" s="620">
        <v>98.0999999999992</v>
      </c>
      <c r="BC158" s="619">
        <v>1.02</v>
      </c>
      <c r="BD158" s="619">
        <v>1.02</v>
      </c>
      <c r="BE158" s="620">
        <v>98.0999999999992</v>
      </c>
      <c r="BF158" s="619">
        <v>1.02</v>
      </c>
      <c r="BG158" s="619">
        <v>1.02</v>
      </c>
      <c r="BH158" s="623">
        <f t="shared" si="46"/>
        <v>1.02</v>
      </c>
      <c r="BI158" s="623">
        <f t="shared" si="46"/>
        <v>1.02</v>
      </c>
    </row>
    <row r="159" spans="22:61" ht="12.75">
      <c r="V159" s="185">
        <v>91.4</v>
      </c>
      <c r="W159" s="180">
        <v>-0.02</v>
      </c>
      <c r="X159" s="180">
        <v>-0.02</v>
      </c>
      <c r="Y159" s="180">
        <v>0</v>
      </c>
      <c r="Z159" s="181">
        <v>-0.02</v>
      </c>
      <c r="AA159" s="180">
        <v>-0.09</v>
      </c>
      <c r="AB159" s="186">
        <v>-0.02</v>
      </c>
      <c r="AC159" s="92"/>
      <c r="AD159" s="175"/>
      <c r="AE159" s="158" t="e">
        <f>IF(AE154="","",IF(AE154=AE153,"",AE154-AE153))</f>
        <v>#DIV/0!</v>
      </c>
      <c r="AF159" s="135" t="e">
        <f t="shared" si="54"/>
        <v>#DIV/0!</v>
      </c>
      <c r="AG159" s="135" t="e">
        <f t="shared" si="54"/>
        <v>#DIV/0!</v>
      </c>
      <c r="AH159" s="135" t="e">
        <f t="shared" si="54"/>
        <v>#DIV/0!</v>
      </c>
      <c r="AI159" s="135" t="e">
        <f t="shared" si="54"/>
        <v>#DIV/0!</v>
      </c>
      <c r="AJ159" s="159" t="e">
        <f t="shared" si="54"/>
        <v>#DIV/0!</v>
      </c>
      <c r="AK159" s="92"/>
      <c r="AL159" s="92"/>
      <c r="AM159" s="92"/>
      <c r="AN159" s="92"/>
      <c r="AO159" s="92"/>
      <c r="AP159" s="92"/>
      <c r="AQ159" s="92"/>
      <c r="AR159" s="92"/>
      <c r="AS159" s="92"/>
      <c r="AT159" s="92"/>
      <c r="AU159" s="92"/>
      <c r="AV159" s="92"/>
      <c r="AW159" s="92"/>
      <c r="AX159" s="92"/>
      <c r="AY159" s="92"/>
      <c r="BB159" s="620">
        <v>98.19999999999919</v>
      </c>
      <c r="BC159" s="619">
        <v>1.02</v>
      </c>
      <c r="BD159" s="619">
        <v>1.02</v>
      </c>
      <c r="BE159" s="620">
        <v>98.19999999999919</v>
      </c>
      <c r="BF159" s="619">
        <v>1.02</v>
      </c>
      <c r="BG159" s="619">
        <v>1.02</v>
      </c>
      <c r="BH159" s="623">
        <f t="shared" si="46"/>
        <v>1.02</v>
      </c>
      <c r="BI159" s="623">
        <f t="shared" si="46"/>
        <v>1.02</v>
      </c>
    </row>
    <row r="160" spans="22:61" ht="13.5" thickBot="1">
      <c r="V160" s="185">
        <v>91.5</v>
      </c>
      <c r="W160" s="180">
        <v>0</v>
      </c>
      <c r="X160" s="180">
        <v>-0.02</v>
      </c>
      <c r="Y160" s="180">
        <v>0</v>
      </c>
      <c r="Z160" s="181">
        <v>-0.02</v>
      </c>
      <c r="AA160" s="181">
        <v>-0.05</v>
      </c>
      <c r="AB160" s="186">
        <v>-0.02</v>
      </c>
      <c r="AC160" s="92"/>
      <c r="AD160" s="175"/>
      <c r="AE160" s="160" t="e">
        <f>IF(AE155="","",AE155-AE154)</f>
        <v>#N/A</v>
      </c>
      <c r="AF160" s="161" t="e">
        <f t="shared" si="54"/>
        <v>#N/A</v>
      </c>
      <c r="AG160" s="161" t="e">
        <f t="shared" si="54"/>
        <v>#N/A</v>
      </c>
      <c r="AH160" s="161" t="e">
        <f t="shared" si="54"/>
        <v>#N/A</v>
      </c>
      <c r="AI160" s="161" t="e">
        <f t="shared" si="54"/>
        <v>#N/A</v>
      </c>
      <c r="AJ160" s="162" t="e">
        <f t="shared" si="54"/>
        <v>#N/A</v>
      </c>
      <c r="AK160" s="92"/>
      <c r="AL160" s="92"/>
      <c r="AM160" s="92"/>
      <c r="AN160" s="92"/>
      <c r="AO160" s="92"/>
      <c r="AP160" s="92"/>
      <c r="AQ160" s="92"/>
      <c r="AR160" s="92"/>
      <c r="AS160" s="92"/>
      <c r="AT160" s="92"/>
      <c r="AU160" s="92"/>
      <c r="AV160" s="92"/>
      <c r="AW160" s="92"/>
      <c r="AX160" s="92"/>
      <c r="AY160" s="92"/>
      <c r="BB160" s="620">
        <v>98.29999999999919</v>
      </c>
      <c r="BC160" s="619">
        <v>1.02</v>
      </c>
      <c r="BD160" s="619">
        <v>1.02</v>
      </c>
      <c r="BE160" s="620">
        <v>98.29999999999919</v>
      </c>
      <c r="BF160" s="619">
        <v>1.02</v>
      </c>
      <c r="BG160" s="619">
        <v>1.02</v>
      </c>
      <c r="BH160" s="623">
        <f t="shared" si="46"/>
        <v>1.02</v>
      </c>
      <c r="BI160" s="623">
        <f t="shared" si="46"/>
        <v>1.02</v>
      </c>
    </row>
    <row r="161" spans="22:61" ht="13.5" thickBot="1">
      <c r="V161" s="185">
        <v>91.6</v>
      </c>
      <c r="W161" s="180">
        <v>0</v>
      </c>
      <c r="X161" s="180">
        <v>-0.02</v>
      </c>
      <c r="Y161" s="180">
        <v>0</v>
      </c>
      <c r="Z161" s="181">
        <v>-0.02</v>
      </c>
      <c r="AA161" s="181">
        <v>-0.05</v>
      </c>
      <c r="AB161" s="186">
        <v>-0.02</v>
      </c>
      <c r="AC161" s="92"/>
      <c r="AD161" s="175"/>
      <c r="AE161" s="197"/>
      <c r="AF161" s="198"/>
      <c r="AG161" s="198"/>
      <c r="AH161" s="198"/>
      <c r="AI161" s="198"/>
      <c r="AJ161" s="198"/>
      <c r="AK161" s="92"/>
      <c r="AL161" s="92"/>
      <c r="AM161" s="92"/>
      <c r="AN161" s="92"/>
      <c r="AO161" s="92"/>
      <c r="AP161" s="92"/>
      <c r="AQ161" s="92"/>
      <c r="AR161" s="92"/>
      <c r="AS161" s="92"/>
      <c r="AT161" s="92"/>
      <c r="AU161" s="92"/>
      <c r="AV161" s="92"/>
      <c r="AW161" s="92"/>
      <c r="AX161" s="92"/>
      <c r="AY161" s="92"/>
      <c r="BB161" s="620">
        <v>98.39999999999918</v>
      </c>
      <c r="BC161" s="619">
        <v>1.02</v>
      </c>
      <c r="BD161" s="619">
        <v>1.02</v>
      </c>
      <c r="BE161" s="620">
        <v>98.39999999999918</v>
      </c>
      <c r="BF161" s="619">
        <v>1.02</v>
      </c>
      <c r="BG161" s="619">
        <v>1.02</v>
      </c>
      <c r="BH161" s="623">
        <f t="shared" si="46"/>
        <v>1.02</v>
      </c>
      <c r="BI161" s="623">
        <f t="shared" si="46"/>
        <v>1.02</v>
      </c>
    </row>
    <row r="162" spans="22:51" ht="12.75">
      <c r="V162" s="185">
        <v>91.7</v>
      </c>
      <c r="W162" s="180">
        <v>0</v>
      </c>
      <c r="X162" s="180">
        <v>-0.02</v>
      </c>
      <c r="Y162" s="180">
        <v>0</v>
      </c>
      <c r="Z162" s="181">
        <v>-0.02</v>
      </c>
      <c r="AA162" s="181">
        <v>-0.05</v>
      </c>
      <c r="AB162" s="186">
        <v>-0.02</v>
      </c>
      <c r="AC162" s="92"/>
      <c r="AD162" s="175"/>
      <c r="AE162" s="39"/>
      <c r="AF162" s="39"/>
      <c r="AG162" s="39"/>
      <c r="AH162" s="39"/>
      <c r="AI162" s="596">
        <v>7</v>
      </c>
      <c r="AJ162" s="597" t="e">
        <f>IF(AR162&gt;=2.5,AP162*$AS$87,IF(AT162&lt;0,AP162*$AS162,0))</f>
        <v>#VALUE!</v>
      </c>
      <c r="AK162" s="597" t="e">
        <f>IF(AR163&gt;=2.5,AP163*$AS$88,IF(AT163&lt;0,AP163*AS163,0))</f>
        <v>#VALUE!</v>
      </c>
      <c r="AL162" s="597" t="e">
        <f>IF(AR164&gt;=2.5,AP164*$AS$89,IF(AT164&lt;0,AP164*AS164,0))</f>
        <v>#VALUE!</v>
      </c>
      <c r="AM162" s="597" t="e">
        <f>IF(AR165&gt;=2.5,AP165*$AS$90,IF(AT165&lt;0,AP165*AS165,0))</f>
        <v>#VALUE!</v>
      </c>
      <c r="AN162" s="598" t="e">
        <f>IF($AK$81=1,VLOOKUP(AQ162,$V$72:$AB$222,2),IF($AK$81=2,VLOOKUP(AQ162,$V$72:$AB$222,3),IF($AK$81=3,VLOOKUP(AQ162,$V$72:$AB$222,4),IF($AK$81=4,VLOOKUP(AQ162,$V$72:$AB$222,5),IF($AK$81=5,VLOOKUP(AQ162,$V$72:$AB$222,6),IF($AK$81=6,VLOOKUP(AQ162,$V$72:$AB254,7,999)))))))</f>
        <v>#N/A</v>
      </c>
      <c r="AO162" s="252" t="e">
        <f>IF(OR(K44&gt;(K46+0.03),K44&lt;(K46-0.03)),K46,K44)</f>
        <v>#VALUE!</v>
      </c>
      <c r="AP162" s="605" t="e">
        <f aca="true" t="shared" si="55" ref="AP162:AP169">IF(AT162="SEE SPEC.","0",(AT162*$AT$76))</f>
        <v>#N/A</v>
      </c>
      <c r="AQ162" s="606">
        <f>M95</f>
        <v>0</v>
      </c>
      <c r="AR162" s="577" t="e">
        <f aca="true" t="shared" si="56" ref="AR162:AR169">IF(AS162="","",IF($L$69="no",VLOOKUP(AY162-0.1,$AX$72:$AY$81,2),$J$71))</f>
        <v>#VALUE!</v>
      </c>
      <c r="AS162" s="611">
        <f>AE232</f>
        <v>0</v>
      </c>
      <c r="AT162" s="598" t="e">
        <f>IF($AN$87="SEE SPEC.","SEE SPEC.",IF(AND($AK$82=1,$AN$87&gt;=0),0,$AN$87))</f>
        <v>#N/A</v>
      </c>
      <c r="AU162" s="597" t="e">
        <f>IF(AT162="SEE SPEC.","SEE SPEC.",IF($AK$80=3,AJ164,IF($AK$80=2,AJ163,IF($AK$80=1,AJ162))))</f>
        <v>#N/A</v>
      </c>
      <c r="AV162" s="612" t="e">
        <f aca="true" t="shared" si="57" ref="AV162:AV169">IF(AND(AR162&lt;$AV$75,AND(AT162&lt;&gt;"SEE SPEC.",NOT(AT162&lt;0))),"low voids",AT162)</f>
        <v>#VALUE!</v>
      </c>
      <c r="AW162" s="92"/>
      <c r="AX162" s="92" t="s">
        <v>232</v>
      </c>
      <c r="AY162" s="92"/>
    </row>
    <row r="163" spans="22:51" ht="12.75">
      <c r="V163" s="185">
        <v>91.8</v>
      </c>
      <c r="W163" s="180">
        <v>0</v>
      </c>
      <c r="X163" s="180">
        <v>-0.02</v>
      </c>
      <c r="Y163" s="180">
        <v>0</v>
      </c>
      <c r="Z163" s="181">
        <v>-0.02</v>
      </c>
      <c r="AA163" s="181">
        <v>-0.05</v>
      </c>
      <c r="AB163" s="186">
        <v>-0.02</v>
      </c>
      <c r="AC163" s="92"/>
      <c r="AD163" s="92"/>
      <c r="AE163" s="92"/>
      <c r="AF163" s="92"/>
      <c r="AG163" s="92"/>
      <c r="AH163" s="92"/>
      <c r="AI163" s="599"/>
      <c r="AJ163" s="600" t="e">
        <f>IF(AR162&gt;=3,AP162*$AS$87,IF(AT162&lt;0,AP162*AS162,0))</f>
        <v>#VALUE!</v>
      </c>
      <c r="AK163" s="600" t="e">
        <f>IF(AR163&gt;=3,AP163*$AS$88,IF(AT163&lt;0,AP163*AS163,0))</f>
        <v>#VALUE!</v>
      </c>
      <c r="AL163" s="600" t="e">
        <f>IF(AR164&gt;=3,AP164*$AS$89,IF(AT164&lt;0,AP164*AS164,0))</f>
        <v>#VALUE!</v>
      </c>
      <c r="AM163" s="600" t="e">
        <f>IF(AR165&gt;=3,AP165*$AS$90,IF(AT165&lt;0,AP165*AS165,0))</f>
        <v>#VALUE!</v>
      </c>
      <c r="AN163" s="601"/>
      <c r="AO163" s="256" t="e">
        <f>IF(OR(K45&gt;(K46+0.03),K45&lt;(K46-0.03)),K46,K45)</f>
        <v>#VALUE!</v>
      </c>
      <c r="AP163" s="607" t="e">
        <f t="shared" si="55"/>
        <v>#N/A</v>
      </c>
      <c r="AQ163" s="608"/>
      <c r="AR163" s="577" t="e">
        <f t="shared" si="56"/>
        <v>#VALUE!</v>
      </c>
      <c r="AS163" s="613">
        <f>AE233</f>
        <v>0</v>
      </c>
      <c r="AT163" s="601" t="e">
        <f>IF($AN$87="SEE SPEC.","SEE SPEC.",IF(AND($AK$82=1,$AN$87&gt;=0),0,$AN$87))</f>
        <v>#N/A</v>
      </c>
      <c r="AU163" s="600" t="e">
        <f>IF(AT163="SEE SPEC.","SEE SPEC.",IF($AK$80=3,AK164,IF($AK$80=2,AK163,IF($AK$80=1,AK162))))</f>
        <v>#N/A</v>
      </c>
      <c r="AV163" s="614" t="e">
        <f t="shared" si="57"/>
        <v>#VALUE!</v>
      </c>
      <c r="AW163" s="92"/>
      <c r="AX163" s="92" t="s">
        <v>233</v>
      </c>
      <c r="AY163" s="92"/>
    </row>
    <row r="164" spans="22:51" ht="12.75">
      <c r="V164" s="185">
        <v>91.9</v>
      </c>
      <c r="W164" s="180">
        <v>0</v>
      </c>
      <c r="X164" s="180">
        <v>-0.02</v>
      </c>
      <c r="Y164" s="180">
        <v>0</v>
      </c>
      <c r="Z164" s="181">
        <v>-0.02</v>
      </c>
      <c r="AA164" s="181">
        <v>-0.05</v>
      </c>
      <c r="AB164" s="186">
        <v>-0.02</v>
      </c>
      <c r="AC164" s="92"/>
      <c r="AD164" s="92"/>
      <c r="AE164" s="92"/>
      <c r="AF164" s="92"/>
      <c r="AG164" s="92"/>
      <c r="AH164" s="92"/>
      <c r="AI164" s="599"/>
      <c r="AJ164" s="600" t="e">
        <f>IF(AR162&gt;=3.5,AP162*$AS$87,IF(AT162&lt;0,AP162*AS162,0))</f>
        <v>#VALUE!</v>
      </c>
      <c r="AK164" s="600" t="e">
        <f>IF(AR163&gt;=3.5,AP163*$AS$88,IF(AT163&lt;0,AP163*AS163,0))</f>
        <v>#VALUE!</v>
      </c>
      <c r="AL164" s="600" t="e">
        <f>IF(AR164&gt;=3.5,AP164*$AS164,IF(AT164&lt;0,AP164*AS164,0))</f>
        <v>#VALUE!</v>
      </c>
      <c r="AM164" s="600" t="e">
        <f>IF(AR165&gt;=3.5,AP165*$AS165,IF(AT165&lt;0,AP165*AS165,0))</f>
        <v>#VALUE!</v>
      </c>
      <c r="AN164" s="601"/>
      <c r="AO164" s="256"/>
      <c r="AP164" s="607" t="e">
        <f t="shared" si="55"/>
        <v>#N/A</v>
      </c>
      <c r="AQ164" s="608"/>
      <c r="AR164" s="577" t="e">
        <f t="shared" si="56"/>
        <v>#VALUE!</v>
      </c>
      <c r="AS164" s="613">
        <f>AE234</f>
        <v>0</v>
      </c>
      <c r="AT164" s="601" t="e">
        <f>IF($AN$87="SEE SPEC.","SEE SPEC.",IF(AND($AK$82=1,$AN$87&gt;=0),0,$AN$87))</f>
        <v>#N/A</v>
      </c>
      <c r="AU164" s="600" t="e">
        <f>IF(AT164="SEE SPEC.","SEE SPEC.",IF($AK$80=3,AL164,IF($AK$80=2,AL163,IF($AK$80=1,AL162))))</f>
        <v>#N/A</v>
      </c>
      <c r="AV164" s="614" t="e">
        <f t="shared" si="57"/>
        <v>#VALUE!</v>
      </c>
      <c r="AW164" s="92"/>
      <c r="AX164" s="92" t="s">
        <v>328</v>
      </c>
      <c r="AY164" s="92"/>
    </row>
    <row r="165" spans="22:51" ht="13.5" thickBot="1">
      <c r="V165" s="185">
        <v>92</v>
      </c>
      <c r="W165" s="180">
        <v>0</v>
      </c>
      <c r="X165" s="180">
        <v>0</v>
      </c>
      <c r="Y165" s="180">
        <v>0</v>
      </c>
      <c r="Z165" s="181">
        <v>0</v>
      </c>
      <c r="AA165" s="180">
        <v>-0.02</v>
      </c>
      <c r="AB165" s="186">
        <v>0</v>
      </c>
      <c r="AC165" s="92"/>
      <c r="AD165" s="92"/>
      <c r="AE165" s="92"/>
      <c r="AF165" s="92"/>
      <c r="AG165" s="92"/>
      <c r="AH165" s="92"/>
      <c r="AI165" s="602"/>
      <c r="AJ165" s="603"/>
      <c r="AK165" s="603"/>
      <c r="AL165" s="603"/>
      <c r="AM165" s="603"/>
      <c r="AN165" s="604"/>
      <c r="AO165" s="261"/>
      <c r="AP165" s="609" t="e">
        <f t="shared" si="55"/>
        <v>#N/A</v>
      </c>
      <c r="AQ165" s="610"/>
      <c r="AR165" s="577" t="e">
        <f t="shared" si="56"/>
        <v>#VALUE!</v>
      </c>
      <c r="AS165" s="615">
        <f>AE235</f>
        <v>0</v>
      </c>
      <c r="AT165" s="604" t="e">
        <f>IF($AN$87="SEE SPEC.","SEE SPEC.",IF(AND($AK$82=1,$AN$87&gt;=0),0,$AN$87))</f>
        <v>#N/A</v>
      </c>
      <c r="AU165" s="603" t="e">
        <f>IF(AT165="SEE SPEC.","SEE SPEC.",IF($AK$80=3,AM164,IF($AK$80=2,AM163,IF($AK$80=1,AM162))))</f>
        <v>#N/A</v>
      </c>
      <c r="AV165" s="616" t="e">
        <f t="shared" si="57"/>
        <v>#VALUE!</v>
      </c>
      <c r="AW165" s="92"/>
      <c r="AX165" s="92"/>
      <c r="AY165" s="92"/>
    </row>
    <row r="166" spans="22:51" ht="12.75">
      <c r="V166" s="185">
        <v>92.1</v>
      </c>
      <c r="W166" s="180">
        <v>0</v>
      </c>
      <c r="X166" s="180">
        <v>0</v>
      </c>
      <c r="Y166" s="180">
        <v>0</v>
      </c>
      <c r="Z166" s="181">
        <v>0</v>
      </c>
      <c r="AA166" s="180">
        <v>-0.02</v>
      </c>
      <c r="AB166" s="186">
        <v>0</v>
      </c>
      <c r="AC166" s="92"/>
      <c r="AD166" s="92"/>
      <c r="AE166" s="92"/>
      <c r="AF166" s="92"/>
      <c r="AG166" s="92"/>
      <c r="AH166" s="92"/>
      <c r="AI166" s="596">
        <v>8</v>
      </c>
      <c r="AJ166" s="597" t="e">
        <f>IF(AR166&gt;=2.5,AP166*AS166,IF(AT166&lt;0,AP166*AS166,0))</f>
        <v>#VALUE!</v>
      </c>
      <c r="AK166" s="597" t="e">
        <f>IF(AR167&gt;=2.5,AP167*AS167,IF(AT167&lt;0,AP167*AS167,0))</f>
        <v>#VALUE!</v>
      </c>
      <c r="AL166" s="597" t="e">
        <f>IF(AR168&gt;=2.5,AP168*AS168,IF(AT168&lt;0,AP168*AS168,0))</f>
        <v>#VALUE!</v>
      </c>
      <c r="AM166" s="597" t="e">
        <f>IF(AR169&gt;=2.5,AP169*AS169,IF(AT169&lt;0,AP169*AS169,0))</f>
        <v>#VALUE!</v>
      </c>
      <c r="AN166" s="598" t="e">
        <f>IF($AK$81=1,VLOOKUP(AQ166,$V$72:$AB$222,2),IF($AK$81=2,VLOOKUP(AQ166,$V$72:$AB$222,3),IF($AK$81=3,VLOOKUP(AQ166,$V$72:$AB$222,4),IF($AK$81=4,VLOOKUP(AQ166,$V$72:$AB$222,5),IF($AK$81=5,VLOOKUP(AQ166,$V$72:$AB$222,6),IF($AK$81=6,VLOOKUP(AQ166,$V$72:$AB257,7,999)))))))</f>
        <v>#N/A</v>
      </c>
      <c r="AO166" s="252" t="e">
        <f>IF(OR(K49&gt;(K51+0.03),K49&lt;(K51-0.03)),K51,K49)</f>
        <v>#VALUE!</v>
      </c>
      <c r="AP166" s="605" t="e">
        <f t="shared" si="55"/>
        <v>#N/A</v>
      </c>
      <c r="AQ166" s="606">
        <f>M99</f>
        <v>0</v>
      </c>
      <c r="AR166" s="577" t="e">
        <f t="shared" si="56"/>
        <v>#VALUE!</v>
      </c>
      <c r="AS166" s="611">
        <f>AF232</f>
        <v>0</v>
      </c>
      <c r="AT166" s="598" t="e">
        <f>IF($AN$91="SEE SPEC.","SEE SPEC.",IF(AND($AK$82=1,$AN$91&gt;=0),0,$AN$91))</f>
        <v>#N/A</v>
      </c>
      <c r="AU166" s="597" t="e">
        <f>IF(AT166="SEE SPEC.","SEE SPEC.",IF($AK$80=3,AJ168,IF($AK$80=2,AJ167,IF($AK$80=1,AJ166))))</f>
        <v>#N/A</v>
      </c>
      <c r="AV166" s="612" t="e">
        <f t="shared" si="57"/>
        <v>#VALUE!</v>
      </c>
      <c r="AW166" s="92"/>
      <c r="AX166" s="92"/>
      <c r="AY166" s="92"/>
    </row>
    <row r="167" spans="22:51" ht="12.75">
      <c r="V167" s="185">
        <v>92.2</v>
      </c>
      <c r="W167" s="180">
        <v>0</v>
      </c>
      <c r="X167" s="180">
        <v>0</v>
      </c>
      <c r="Y167" s="180">
        <v>0</v>
      </c>
      <c r="Z167" s="181">
        <v>0</v>
      </c>
      <c r="AA167" s="180">
        <v>-0.02</v>
      </c>
      <c r="AB167" s="186">
        <v>0</v>
      </c>
      <c r="AC167" s="92"/>
      <c r="AD167" s="92"/>
      <c r="AE167" s="92"/>
      <c r="AF167" s="92"/>
      <c r="AG167" s="92"/>
      <c r="AH167" s="92"/>
      <c r="AI167" s="599"/>
      <c r="AJ167" s="600" t="e">
        <f>IF(AR166&gt;=3,AP166*AS166,IF(AT166&lt;0,AP166*AS166,0))</f>
        <v>#VALUE!</v>
      </c>
      <c r="AK167" s="600" t="e">
        <f>IF(AR167&gt;=3,AP167*AS167,IF(AT167&lt;0,AP167*AS167,0))</f>
        <v>#VALUE!</v>
      </c>
      <c r="AL167" s="600" t="e">
        <f>IF(AR168&gt;=3,AP168*AS168,IF(AT168&lt;0,AP168*AS168,0))</f>
        <v>#VALUE!</v>
      </c>
      <c r="AM167" s="600" t="e">
        <f>IF(AR169&gt;=3,AP169*AS169,IF(AT169&lt;0,AP169*AS169,0))</f>
        <v>#VALUE!</v>
      </c>
      <c r="AN167" s="601"/>
      <c r="AO167" s="256" t="e">
        <f>IF(OR(K50&gt;(K51+0.03),K50&lt;(K51-0.03)),K51,K50)</f>
        <v>#VALUE!</v>
      </c>
      <c r="AP167" s="607" t="e">
        <f t="shared" si="55"/>
        <v>#N/A</v>
      </c>
      <c r="AQ167" s="608"/>
      <c r="AR167" s="577" t="e">
        <f t="shared" si="56"/>
        <v>#VALUE!</v>
      </c>
      <c r="AS167" s="613">
        <f>AF233</f>
        <v>0</v>
      </c>
      <c r="AT167" s="601" t="e">
        <f>IF($AN$91="SEE SPEC.","SEE SPEC.",IF(AND($AK$82=1,$AN$91&gt;=0),0,$AN$91))</f>
        <v>#N/A</v>
      </c>
      <c r="AU167" s="600" t="e">
        <f>IF(AT167="SEE SPEC.","SEE SPEC.",IF($AK$80=3,AK168,IF($AK$80=2,AK167,IF($AK$80=1,AK166))))</f>
        <v>#N/A</v>
      </c>
      <c r="AV167" s="614" t="e">
        <f t="shared" si="57"/>
        <v>#VALUE!</v>
      </c>
      <c r="AW167" s="92"/>
      <c r="AX167" s="92"/>
      <c r="AY167" s="92"/>
    </row>
    <row r="168" spans="22:51" ht="12.75">
      <c r="V168" s="185">
        <v>92.3</v>
      </c>
      <c r="W168" s="180">
        <v>0</v>
      </c>
      <c r="X168" s="180">
        <v>0</v>
      </c>
      <c r="Y168" s="180">
        <v>0</v>
      </c>
      <c r="Z168" s="181">
        <v>0</v>
      </c>
      <c r="AA168" s="180">
        <v>-0.02</v>
      </c>
      <c r="AB168" s="186">
        <v>0</v>
      </c>
      <c r="AC168" s="92"/>
      <c r="AD168" s="92"/>
      <c r="AE168" s="92"/>
      <c r="AF168" s="92"/>
      <c r="AG168" s="92"/>
      <c r="AH168" s="92"/>
      <c r="AI168" s="599"/>
      <c r="AJ168" s="600" t="e">
        <f>IF(AR166&gt;=3.5,AP166*AS166,IF(AT166&lt;0,AP166*AS166,0))</f>
        <v>#VALUE!</v>
      </c>
      <c r="AK168" s="600" t="e">
        <f>IF(AR167&gt;=3.5,AP167*AS167,IF(AT167&lt;0,AP167*AS167,0))</f>
        <v>#VALUE!</v>
      </c>
      <c r="AL168" s="600" t="e">
        <f>IF(AR168&gt;=3.5,AP168*AS168,IF(AT168&lt;0,AP168*AS168,0))</f>
        <v>#VALUE!</v>
      </c>
      <c r="AM168" s="600" t="e">
        <f>IF(AR169&gt;=3.5,AP169*AS169,IF(AT169&lt;0,AP169*AS169,0))</f>
        <v>#VALUE!</v>
      </c>
      <c r="AN168" s="601"/>
      <c r="AO168" s="256"/>
      <c r="AP168" s="607" t="e">
        <f t="shared" si="55"/>
        <v>#N/A</v>
      </c>
      <c r="AQ168" s="608"/>
      <c r="AR168" s="577" t="e">
        <f t="shared" si="56"/>
        <v>#VALUE!</v>
      </c>
      <c r="AS168" s="613">
        <f>AF234</f>
        <v>0</v>
      </c>
      <c r="AT168" s="601" t="e">
        <f>IF($AN$91="SEE SPEC.","SEE SPEC.",IF(AND($AK$82=1,$AN$91&gt;=0),0,$AN$91))</f>
        <v>#N/A</v>
      </c>
      <c r="AU168" s="600" t="e">
        <f>IF(AT168="SEE SPEC.","SEE SPEC.",IF($AK$80=3,AL168,IF($AK$80=2,AL167,IF($AK$80=1,AL166))))</f>
        <v>#N/A</v>
      </c>
      <c r="AV168" s="614" t="e">
        <f t="shared" si="57"/>
        <v>#VALUE!</v>
      </c>
      <c r="AW168" s="92"/>
      <c r="AX168" s="92"/>
      <c r="AY168" s="92"/>
    </row>
    <row r="169" spans="22:51" ht="13.5" thickBot="1">
      <c r="V169" s="185">
        <v>92.4</v>
      </c>
      <c r="W169" s="180">
        <v>0</v>
      </c>
      <c r="X169" s="180">
        <v>0</v>
      </c>
      <c r="Y169" s="180">
        <v>0</v>
      </c>
      <c r="Z169" s="181">
        <v>0</v>
      </c>
      <c r="AA169" s="180">
        <v>-0.02</v>
      </c>
      <c r="AB169" s="186">
        <v>0</v>
      </c>
      <c r="AC169" s="92"/>
      <c r="AD169" s="92"/>
      <c r="AE169" s="92"/>
      <c r="AF169" s="92"/>
      <c r="AG169" s="92"/>
      <c r="AH169" s="92"/>
      <c r="AI169" s="602"/>
      <c r="AJ169" s="603"/>
      <c r="AK169" s="603"/>
      <c r="AL169" s="603"/>
      <c r="AM169" s="603"/>
      <c r="AN169" s="604"/>
      <c r="AO169" s="261"/>
      <c r="AP169" s="609" t="e">
        <f t="shared" si="55"/>
        <v>#N/A</v>
      </c>
      <c r="AQ169" s="610"/>
      <c r="AR169" s="577" t="e">
        <f t="shared" si="56"/>
        <v>#VALUE!</v>
      </c>
      <c r="AS169" s="615">
        <f>AF235</f>
        <v>0</v>
      </c>
      <c r="AT169" s="604" t="e">
        <f>IF($AN$91="SEE SPEC.","SEE SPEC.",IF(AND($AK$82=1,$AN$91&gt;=0),0,$AN$91))</f>
        <v>#N/A</v>
      </c>
      <c r="AU169" s="603" t="e">
        <f>IF(AT169="SEE SPEC.","SEE SPEC.",IF($AK$80=3,AM168,IF($AK$80=2,AM167,IF($AK$80=1,AM166))))</f>
        <v>#N/A</v>
      </c>
      <c r="AV169" s="616" t="e">
        <f t="shared" si="57"/>
        <v>#VALUE!</v>
      </c>
      <c r="AW169" s="92"/>
      <c r="AX169" s="92"/>
      <c r="AY169" s="92"/>
    </row>
    <row r="170" spans="22:51" ht="12.75">
      <c r="V170" s="185">
        <v>92.5</v>
      </c>
      <c r="W170" s="180">
        <v>0</v>
      </c>
      <c r="X170" s="180">
        <v>0</v>
      </c>
      <c r="Y170" s="180">
        <v>0</v>
      </c>
      <c r="Z170" s="181">
        <v>0</v>
      </c>
      <c r="AA170" s="180">
        <v>-0.02</v>
      </c>
      <c r="AB170" s="186">
        <v>0</v>
      </c>
      <c r="AC170" s="92"/>
      <c r="AD170" s="92"/>
      <c r="AE170" s="92"/>
      <c r="AF170" s="92"/>
      <c r="AG170" s="92"/>
      <c r="AH170" s="92"/>
      <c r="AI170" s="92"/>
      <c r="AJ170" s="92"/>
      <c r="AK170" s="92"/>
      <c r="AL170" s="92"/>
      <c r="AM170" s="92"/>
      <c r="AN170" s="92"/>
      <c r="AO170" s="92"/>
      <c r="AP170" s="92"/>
      <c r="AQ170" s="92"/>
      <c r="AR170" s="92"/>
      <c r="AS170" s="92"/>
      <c r="AT170" s="92"/>
      <c r="AU170" s="92"/>
      <c r="AV170" s="92"/>
      <c r="AW170" s="92"/>
      <c r="AX170" s="92"/>
      <c r="AY170" s="92"/>
    </row>
    <row r="171" spans="22:51" ht="13.5" thickBot="1">
      <c r="V171" s="185">
        <v>92.6</v>
      </c>
      <c r="W171" s="180">
        <v>0.02</v>
      </c>
      <c r="X171" s="180">
        <v>0</v>
      </c>
      <c r="Y171" s="180">
        <v>0</v>
      </c>
      <c r="Z171" s="181">
        <v>0</v>
      </c>
      <c r="AA171" s="180">
        <v>-0.02</v>
      </c>
      <c r="AB171" s="186">
        <v>0</v>
      </c>
      <c r="AC171" s="92"/>
      <c r="AD171" s="92"/>
      <c r="AE171" s="92"/>
      <c r="AF171" s="92"/>
      <c r="AG171" s="92"/>
      <c r="AH171" s="92"/>
      <c r="AI171" s="92"/>
      <c r="AJ171" s="92"/>
      <c r="AK171" s="92"/>
      <c r="AL171" s="92"/>
      <c r="AM171" s="92"/>
      <c r="AN171" s="92"/>
      <c r="AO171" s="92"/>
      <c r="AP171" s="92"/>
      <c r="AQ171" s="92"/>
      <c r="AR171" s="92"/>
      <c r="AS171" s="92"/>
      <c r="AT171" s="92"/>
      <c r="AU171" s="92"/>
      <c r="AV171" s="92"/>
      <c r="AW171" s="92"/>
      <c r="AX171" s="92"/>
      <c r="AY171" s="92"/>
    </row>
    <row r="172" spans="22:51" ht="12.75">
      <c r="V172" s="185">
        <v>92.7</v>
      </c>
      <c r="W172" s="180">
        <v>0.02</v>
      </c>
      <c r="X172" s="180">
        <v>0</v>
      </c>
      <c r="Y172" s="180">
        <v>0</v>
      </c>
      <c r="Z172" s="181">
        <v>0</v>
      </c>
      <c r="AA172" s="180">
        <v>-0.02</v>
      </c>
      <c r="AB172" s="186">
        <v>0</v>
      </c>
      <c r="AC172" s="92"/>
      <c r="AD172" s="92"/>
      <c r="AE172" s="155" t="e">
        <f aca="true" t="shared" si="58" ref="AE172:AJ172">IF(AE157&lt;1,AE158,AE157)</f>
        <v>#DIV/0!</v>
      </c>
      <c r="AF172" s="156" t="e">
        <f t="shared" si="58"/>
        <v>#DIV/0!</v>
      </c>
      <c r="AG172" s="156" t="e">
        <f t="shared" si="58"/>
        <v>#DIV/0!</v>
      </c>
      <c r="AH172" s="156" t="e">
        <f t="shared" si="58"/>
        <v>#DIV/0!</v>
      </c>
      <c r="AI172" s="156" t="e">
        <f t="shared" si="58"/>
        <v>#DIV/0!</v>
      </c>
      <c r="AJ172" s="157" t="e">
        <f t="shared" si="58"/>
        <v>#DIV/0!</v>
      </c>
      <c r="AK172" s="92"/>
      <c r="AL172" s="92"/>
      <c r="AM172" s="92"/>
      <c r="AN172" s="92"/>
      <c r="AO172" s="92"/>
      <c r="AP172" s="92"/>
      <c r="AQ172" s="92"/>
      <c r="AR172" s="92"/>
      <c r="AS172" s="92"/>
      <c r="AT172" s="92"/>
      <c r="AU172" s="92"/>
      <c r="AV172" s="92"/>
      <c r="AW172" s="92"/>
      <c r="AX172" s="92"/>
      <c r="AY172" s="92"/>
    </row>
    <row r="173" spans="22:51" ht="12.75">
      <c r="V173" s="185">
        <v>92.8</v>
      </c>
      <c r="W173" s="180">
        <v>0.02</v>
      </c>
      <c r="X173" s="180">
        <v>0</v>
      </c>
      <c r="Y173" s="180">
        <v>0</v>
      </c>
      <c r="Z173" s="181">
        <v>0</v>
      </c>
      <c r="AA173" s="180">
        <v>-0.02</v>
      </c>
      <c r="AB173" s="186">
        <v>0</v>
      </c>
      <c r="AC173" s="92"/>
      <c r="AD173" s="92"/>
      <c r="AE173" s="158" t="e">
        <f aca="true" t="shared" si="59" ref="AE173:AJ173">IF(AE157&lt;1,AE159,AE158)</f>
        <v>#DIV/0!</v>
      </c>
      <c r="AF173" s="135" t="e">
        <f t="shared" si="59"/>
        <v>#DIV/0!</v>
      </c>
      <c r="AG173" s="135" t="e">
        <f t="shared" si="59"/>
        <v>#DIV/0!</v>
      </c>
      <c r="AH173" s="135" t="e">
        <f t="shared" si="59"/>
        <v>#DIV/0!</v>
      </c>
      <c r="AI173" s="135" t="e">
        <f t="shared" si="59"/>
        <v>#DIV/0!</v>
      </c>
      <c r="AJ173" s="159" t="e">
        <f t="shared" si="59"/>
        <v>#DIV/0!</v>
      </c>
      <c r="AK173" s="92"/>
      <c r="AL173" s="92"/>
      <c r="AM173" s="92"/>
      <c r="AN173" s="92"/>
      <c r="AO173" s="92"/>
      <c r="AP173" s="92"/>
      <c r="AQ173" s="92"/>
      <c r="AR173" s="92"/>
      <c r="AS173" s="92"/>
      <c r="AT173" s="92"/>
      <c r="AU173" s="92"/>
      <c r="AV173" s="92"/>
      <c r="AW173" s="92"/>
      <c r="AX173" s="92"/>
      <c r="AY173" s="92"/>
    </row>
    <row r="174" spans="22:51" ht="12.75">
      <c r="V174" s="185">
        <v>92.9</v>
      </c>
      <c r="W174" s="180">
        <v>0.02</v>
      </c>
      <c r="X174" s="180">
        <v>0</v>
      </c>
      <c r="Y174" s="180">
        <v>0</v>
      </c>
      <c r="Z174" s="181">
        <v>0</v>
      </c>
      <c r="AA174" s="180">
        <v>-0.02</v>
      </c>
      <c r="AB174" s="186">
        <v>0</v>
      </c>
      <c r="AC174" s="92"/>
      <c r="AD174" s="92"/>
      <c r="AE174" s="158" t="e">
        <f aca="true" t="shared" si="60" ref="AE174:AJ174">IF(AE157&lt;1,AE160,AE159)</f>
        <v>#DIV/0!</v>
      </c>
      <c r="AF174" s="135" t="e">
        <f t="shared" si="60"/>
        <v>#DIV/0!</v>
      </c>
      <c r="AG174" s="135" t="e">
        <f t="shared" si="60"/>
        <v>#DIV/0!</v>
      </c>
      <c r="AH174" s="135" t="e">
        <f t="shared" si="60"/>
        <v>#DIV/0!</v>
      </c>
      <c r="AI174" s="135" t="e">
        <f t="shared" si="60"/>
        <v>#DIV/0!</v>
      </c>
      <c r="AJ174" s="159" t="e">
        <f t="shared" si="60"/>
        <v>#DIV/0!</v>
      </c>
      <c r="AK174" s="92"/>
      <c r="AL174" s="92"/>
      <c r="AM174" s="92"/>
      <c r="AN174" s="92"/>
      <c r="AO174" s="92"/>
      <c r="AP174" s="92"/>
      <c r="AQ174" s="92"/>
      <c r="AR174" s="92"/>
      <c r="AS174" s="92"/>
      <c r="AT174" s="92"/>
      <c r="AU174" s="92"/>
      <c r="AV174" s="92"/>
      <c r="AW174" s="92"/>
      <c r="AX174" s="92"/>
      <c r="AY174" s="92"/>
    </row>
    <row r="175" spans="22:51" ht="13.5" thickBot="1">
      <c r="V175" s="185">
        <v>93</v>
      </c>
      <c r="W175" s="180">
        <v>0.02</v>
      </c>
      <c r="X175" s="180">
        <v>0</v>
      </c>
      <c r="Y175" s="180">
        <v>0</v>
      </c>
      <c r="Z175" s="181">
        <v>0</v>
      </c>
      <c r="AA175" s="180">
        <v>0</v>
      </c>
      <c r="AB175" s="186">
        <v>0</v>
      </c>
      <c r="AC175" s="92"/>
      <c r="AD175" s="92"/>
      <c r="AE175" s="160" t="e">
        <f aca="true" t="shared" si="61" ref="AE175:AJ175">IF(AE157&lt;1,"",AE160)</f>
        <v>#DIV/0!</v>
      </c>
      <c r="AF175" s="161" t="e">
        <f t="shared" si="61"/>
        <v>#DIV/0!</v>
      </c>
      <c r="AG175" s="161" t="e">
        <f t="shared" si="61"/>
        <v>#DIV/0!</v>
      </c>
      <c r="AH175" s="161" t="e">
        <f t="shared" si="61"/>
        <v>#DIV/0!</v>
      </c>
      <c r="AI175" s="161" t="e">
        <f t="shared" si="61"/>
        <v>#DIV/0!</v>
      </c>
      <c r="AJ175" s="162" t="e">
        <f t="shared" si="61"/>
        <v>#DIV/0!</v>
      </c>
      <c r="AK175" s="92"/>
      <c r="AL175" s="92"/>
      <c r="AM175" s="92"/>
      <c r="AN175" s="92"/>
      <c r="AO175" s="92"/>
      <c r="AP175" s="92"/>
      <c r="AQ175" s="92"/>
      <c r="AR175" s="92"/>
      <c r="AS175" s="92"/>
      <c r="AT175" s="92"/>
      <c r="AU175" s="92"/>
      <c r="AV175" s="92"/>
      <c r="AW175" s="92"/>
      <c r="AX175" s="92"/>
      <c r="AY175" s="92"/>
    </row>
    <row r="176" spans="22:51" ht="12.75">
      <c r="V176" s="185">
        <v>93.1</v>
      </c>
      <c r="W176" s="180">
        <v>0.04</v>
      </c>
      <c r="X176" s="180">
        <v>0.02</v>
      </c>
      <c r="Y176" s="180">
        <v>0</v>
      </c>
      <c r="Z176" s="181">
        <v>0.02</v>
      </c>
      <c r="AA176" s="180">
        <v>0</v>
      </c>
      <c r="AB176" s="186">
        <v>0</v>
      </c>
      <c r="AC176" s="92"/>
      <c r="AD176" s="92"/>
      <c r="AE176" s="92"/>
      <c r="AF176" s="92"/>
      <c r="AG176" s="92"/>
      <c r="AH176" s="92"/>
      <c r="AI176" s="92"/>
      <c r="AJ176" s="92"/>
      <c r="AK176" s="92"/>
      <c r="AL176" s="92"/>
      <c r="AM176" s="92"/>
      <c r="AN176" s="92"/>
      <c r="AO176" s="92"/>
      <c r="AP176" s="92"/>
      <c r="AQ176" s="92"/>
      <c r="AR176" s="92"/>
      <c r="AS176" s="92"/>
      <c r="AT176" s="92"/>
      <c r="AU176" s="92"/>
      <c r="AV176" s="92"/>
      <c r="AW176" s="92"/>
      <c r="AX176" s="92"/>
      <c r="AY176" s="92"/>
    </row>
    <row r="177" spans="22:51" ht="12.75">
      <c r="V177" s="185">
        <v>93.2</v>
      </c>
      <c r="W177" s="180">
        <v>0.04</v>
      </c>
      <c r="X177" s="180">
        <v>0.02</v>
      </c>
      <c r="Y177" s="180">
        <v>0</v>
      </c>
      <c r="Z177" s="181">
        <v>0.02</v>
      </c>
      <c r="AA177" s="180">
        <v>0</v>
      </c>
      <c r="AB177" s="186">
        <v>0</v>
      </c>
      <c r="AC177" s="92"/>
      <c r="AD177" s="92"/>
      <c r="AE177" s="92"/>
      <c r="AF177" s="92"/>
      <c r="AG177" s="92"/>
      <c r="AH177" s="92"/>
      <c r="AI177" s="92"/>
      <c r="AJ177" s="92"/>
      <c r="AK177" s="92"/>
      <c r="AL177" s="92"/>
      <c r="AM177" s="92"/>
      <c r="AN177" s="92"/>
      <c r="AO177" s="92"/>
      <c r="AP177" s="92"/>
      <c r="AQ177" s="92"/>
      <c r="AR177" s="92"/>
      <c r="AS177" s="92"/>
      <c r="AT177" s="92"/>
      <c r="AU177" s="92"/>
      <c r="AV177" s="92"/>
      <c r="AW177" s="92"/>
      <c r="AX177" s="92"/>
      <c r="AY177" s="92"/>
    </row>
    <row r="178" spans="22:51" ht="12.75">
      <c r="V178" s="185">
        <v>93.3</v>
      </c>
      <c r="W178" s="180">
        <v>0.04</v>
      </c>
      <c r="X178" s="180">
        <v>0.02</v>
      </c>
      <c r="Y178" s="180">
        <v>0</v>
      </c>
      <c r="Z178" s="181">
        <v>0.02</v>
      </c>
      <c r="AA178" s="180">
        <v>0</v>
      </c>
      <c r="AB178" s="186">
        <v>0</v>
      </c>
      <c r="AC178" s="92"/>
      <c r="AD178" s="92"/>
      <c r="AE178" s="92"/>
      <c r="AF178" s="92"/>
      <c r="AG178" s="92"/>
      <c r="AH178" s="92"/>
      <c r="AI178" s="92"/>
      <c r="AJ178" s="92"/>
      <c r="AK178" s="92"/>
      <c r="AL178" s="92"/>
      <c r="AM178" s="92"/>
      <c r="AN178" s="92"/>
      <c r="AO178" s="92"/>
      <c r="AP178" s="92"/>
      <c r="AQ178" s="92"/>
      <c r="AR178" s="92"/>
      <c r="AS178" s="92"/>
      <c r="AT178" s="92"/>
      <c r="AU178" s="92"/>
      <c r="AV178" s="92"/>
      <c r="AW178" s="92"/>
      <c r="AX178" s="92"/>
      <c r="AY178" s="92"/>
    </row>
    <row r="179" spans="22:51" ht="12.75">
      <c r="V179" s="185">
        <v>93.4</v>
      </c>
      <c r="W179" s="180">
        <v>0.04</v>
      </c>
      <c r="X179" s="180">
        <v>0.02</v>
      </c>
      <c r="Y179" s="180">
        <v>0</v>
      </c>
      <c r="Z179" s="181">
        <v>0.02</v>
      </c>
      <c r="AA179" s="180">
        <v>0</v>
      </c>
      <c r="AB179" s="186">
        <v>0</v>
      </c>
      <c r="AC179" s="92"/>
      <c r="AD179" s="92"/>
      <c r="AE179" s="92"/>
      <c r="AF179" s="92"/>
      <c r="AG179" s="92"/>
      <c r="AH179" s="92"/>
      <c r="AI179" s="92"/>
      <c r="AJ179" s="92"/>
      <c r="AK179" s="92"/>
      <c r="AL179" s="92"/>
      <c r="AM179" s="92"/>
      <c r="AN179" s="92"/>
      <c r="AO179" s="92"/>
      <c r="AP179" s="92"/>
      <c r="AQ179" s="92"/>
      <c r="AR179" s="92"/>
      <c r="AS179" s="92"/>
      <c r="AT179" s="92"/>
      <c r="AU179" s="92"/>
      <c r="AV179" s="92"/>
      <c r="AW179" s="92"/>
      <c r="AX179" s="92"/>
      <c r="AY179" s="92"/>
    </row>
    <row r="180" spans="22:51" ht="12.75">
      <c r="V180" s="185">
        <v>93.5</v>
      </c>
      <c r="W180" s="180">
        <v>0.04</v>
      </c>
      <c r="X180" s="180">
        <v>0.02</v>
      </c>
      <c r="Y180" s="180">
        <v>0</v>
      </c>
      <c r="Z180" s="181">
        <v>0.02</v>
      </c>
      <c r="AA180" s="180">
        <v>0</v>
      </c>
      <c r="AB180" s="186">
        <v>0</v>
      </c>
      <c r="AC180" s="92"/>
      <c r="AD180" s="92"/>
      <c r="AE180" s="92"/>
      <c r="AF180" s="92"/>
      <c r="AG180" s="92"/>
      <c r="AH180" s="92"/>
      <c r="AI180" s="92"/>
      <c r="AJ180" s="92"/>
      <c r="AK180" s="92"/>
      <c r="AL180" s="92"/>
      <c r="AM180" s="92"/>
      <c r="AN180" s="92"/>
      <c r="AO180" s="92"/>
      <c r="AP180" s="92"/>
      <c r="AQ180" s="92"/>
      <c r="AR180" s="92"/>
      <c r="AS180" s="92"/>
      <c r="AT180" s="92"/>
      <c r="AU180" s="92"/>
      <c r="AV180" s="92"/>
      <c r="AW180" s="92"/>
      <c r="AX180" s="92"/>
      <c r="AY180" s="92"/>
    </row>
    <row r="181" spans="22:51" ht="12.75">
      <c r="V181" s="185">
        <v>93.6</v>
      </c>
      <c r="W181" s="180">
        <v>0.04</v>
      </c>
      <c r="X181" s="180">
        <v>0.04</v>
      </c>
      <c r="Y181" s="180">
        <v>0</v>
      </c>
      <c r="Z181" s="181">
        <v>0.04</v>
      </c>
      <c r="AA181" s="180">
        <v>0</v>
      </c>
      <c r="AB181" s="186">
        <v>0</v>
      </c>
      <c r="AC181" s="92"/>
      <c r="AD181" s="92"/>
      <c r="AE181" s="92"/>
      <c r="AF181" s="92"/>
      <c r="AG181" s="92"/>
      <c r="AH181" s="92"/>
      <c r="AI181" s="92"/>
      <c r="AJ181" s="92"/>
      <c r="AK181" s="92"/>
      <c r="AL181" s="92"/>
      <c r="AM181" s="92"/>
      <c r="AN181" s="92"/>
      <c r="AO181" s="92"/>
      <c r="AP181" s="92"/>
      <c r="AQ181" s="92"/>
      <c r="AR181" s="92"/>
      <c r="AS181" s="92"/>
      <c r="AT181" s="92"/>
      <c r="AU181" s="92"/>
      <c r="AV181" s="92"/>
      <c r="AW181" s="92"/>
      <c r="AX181" s="92"/>
      <c r="AY181" s="92"/>
    </row>
    <row r="182" spans="22:51" ht="12.75">
      <c r="V182" s="185">
        <v>93.7</v>
      </c>
      <c r="W182" s="180">
        <v>0.04</v>
      </c>
      <c r="X182" s="180">
        <v>0.04</v>
      </c>
      <c r="Y182" s="180">
        <v>0</v>
      </c>
      <c r="Z182" s="181">
        <v>0.04</v>
      </c>
      <c r="AA182" s="180">
        <v>0</v>
      </c>
      <c r="AB182" s="186">
        <v>0</v>
      </c>
      <c r="AC182" s="92"/>
      <c r="AD182" s="92"/>
      <c r="AE182" s="92"/>
      <c r="AF182" s="92"/>
      <c r="AG182" s="92"/>
      <c r="AH182" s="92"/>
      <c r="AI182" s="92"/>
      <c r="AJ182" s="92"/>
      <c r="AK182" s="92"/>
      <c r="AL182" s="92"/>
      <c r="AM182" s="92"/>
      <c r="AN182" s="92"/>
      <c r="AO182" s="92"/>
      <c r="AP182" s="92"/>
      <c r="AQ182" s="92"/>
      <c r="AR182" s="92"/>
      <c r="AS182" s="92"/>
      <c r="AT182" s="92"/>
      <c r="AU182" s="92"/>
      <c r="AV182" s="92"/>
      <c r="AW182" s="92"/>
      <c r="AX182" s="92"/>
      <c r="AY182" s="92"/>
    </row>
    <row r="183" spans="7:28" ht="12.75">
      <c r="G183" s="7"/>
      <c r="H183" s="95"/>
      <c r="I183" s="96"/>
      <c r="J183" s="18"/>
      <c r="K183" s="18"/>
      <c r="L183" s="18"/>
      <c r="M183" s="18"/>
      <c r="N183" s="18"/>
      <c r="O183" s="18"/>
      <c r="P183" s="18"/>
      <c r="Q183" s="7"/>
      <c r="R183" s="7"/>
      <c r="S183" s="7"/>
      <c r="T183" s="7"/>
      <c r="U183" s="7"/>
      <c r="V183" s="239">
        <v>93.8</v>
      </c>
      <c r="W183" s="180">
        <v>0.04</v>
      </c>
      <c r="X183" s="180">
        <v>0.04</v>
      </c>
      <c r="Y183" s="180">
        <v>0</v>
      </c>
      <c r="Z183" s="181">
        <v>0.04</v>
      </c>
      <c r="AA183" s="180">
        <v>0</v>
      </c>
      <c r="AB183" s="186">
        <v>0</v>
      </c>
    </row>
    <row r="184" spans="7:28" ht="12.75">
      <c r="G184" s="7"/>
      <c r="H184" s="7"/>
      <c r="I184" s="7"/>
      <c r="J184" s="7"/>
      <c r="K184" s="7"/>
      <c r="L184" s="7"/>
      <c r="M184" s="7"/>
      <c r="N184" s="7"/>
      <c r="O184" s="7"/>
      <c r="P184" s="7"/>
      <c r="Q184" s="7"/>
      <c r="R184" s="7"/>
      <c r="S184" s="7"/>
      <c r="T184" s="7"/>
      <c r="U184" s="7"/>
      <c r="V184" s="185">
        <v>93.9</v>
      </c>
      <c r="W184" s="180">
        <v>0.04</v>
      </c>
      <c r="X184" s="180">
        <v>0.04</v>
      </c>
      <c r="Y184" s="180">
        <v>0</v>
      </c>
      <c r="Z184" s="181">
        <v>0.04</v>
      </c>
      <c r="AA184" s="180">
        <v>0</v>
      </c>
      <c r="AB184" s="186">
        <v>0</v>
      </c>
    </row>
    <row r="185" spans="7:28" ht="12.75">
      <c r="G185" s="7"/>
      <c r="H185" s="7"/>
      <c r="I185" s="7"/>
      <c r="J185" s="54"/>
      <c r="K185" s="54"/>
      <c r="L185" s="54"/>
      <c r="M185" s="54"/>
      <c r="N185" s="54"/>
      <c r="O185" s="54"/>
      <c r="P185" s="54"/>
      <c r="Q185" s="54"/>
      <c r="R185" s="54"/>
      <c r="S185" s="7"/>
      <c r="T185" s="7"/>
      <c r="U185" s="7"/>
      <c r="V185" s="238">
        <v>94</v>
      </c>
      <c r="W185" s="180">
        <v>0.04</v>
      </c>
      <c r="X185" s="180">
        <v>0.04</v>
      </c>
      <c r="Y185" s="180">
        <v>0</v>
      </c>
      <c r="Z185" s="181">
        <v>0.04</v>
      </c>
      <c r="AA185" s="180">
        <v>0</v>
      </c>
      <c r="AB185" s="186">
        <v>0</v>
      </c>
    </row>
    <row r="186" spans="7:28" ht="12.75">
      <c r="G186" s="54"/>
      <c r="H186" s="54"/>
      <c r="I186" s="37"/>
      <c r="J186" s="54"/>
      <c r="K186" s="54"/>
      <c r="L186" s="54"/>
      <c r="M186" s="54"/>
      <c r="N186" s="37"/>
      <c r="O186" s="58"/>
      <c r="P186" s="58"/>
      <c r="Q186" s="58"/>
      <c r="R186" s="58"/>
      <c r="S186" s="58"/>
      <c r="T186" s="58"/>
      <c r="U186" s="58"/>
      <c r="V186" s="238">
        <v>94.1</v>
      </c>
      <c r="W186" s="180">
        <v>0.04</v>
      </c>
      <c r="X186" s="180">
        <v>0.04</v>
      </c>
      <c r="Y186" s="180">
        <v>0</v>
      </c>
      <c r="Z186" s="181">
        <v>0.04</v>
      </c>
      <c r="AA186" s="180">
        <v>0.02</v>
      </c>
      <c r="AB186" s="186">
        <v>0</v>
      </c>
    </row>
    <row r="187" spans="7:28" ht="12.75">
      <c r="G187" s="7"/>
      <c r="H187" s="7"/>
      <c r="I187" s="7"/>
      <c r="J187" s="50"/>
      <c r="K187" s="50"/>
      <c r="L187" s="97"/>
      <c r="M187" s="7"/>
      <c r="N187" s="7"/>
      <c r="O187" s="23"/>
      <c r="P187" s="23"/>
      <c r="Q187" s="63"/>
      <c r="R187" s="63"/>
      <c r="S187" s="23"/>
      <c r="T187" s="23"/>
      <c r="U187" s="23"/>
      <c r="V187" s="238">
        <v>94.2</v>
      </c>
      <c r="W187" s="180">
        <v>0.04</v>
      </c>
      <c r="X187" s="180">
        <v>0.04</v>
      </c>
      <c r="Y187" s="180">
        <v>0</v>
      </c>
      <c r="Z187" s="181">
        <v>0.04</v>
      </c>
      <c r="AA187" s="180">
        <v>0.02</v>
      </c>
      <c r="AB187" s="186">
        <v>0</v>
      </c>
    </row>
    <row r="188" spans="7:28" ht="12.75">
      <c r="G188" s="50"/>
      <c r="H188" s="50"/>
      <c r="I188" s="64"/>
      <c r="J188" s="64"/>
      <c r="K188" s="64"/>
      <c r="L188" s="98"/>
      <c r="M188" s="50"/>
      <c r="N188" s="50"/>
      <c r="O188" s="23"/>
      <c r="P188" s="23"/>
      <c r="Q188" s="67"/>
      <c r="R188" s="67"/>
      <c r="S188" s="64"/>
      <c r="T188" s="64"/>
      <c r="U188" s="64"/>
      <c r="V188" s="238">
        <v>94.3</v>
      </c>
      <c r="W188" s="180">
        <v>0.04</v>
      </c>
      <c r="X188" s="180">
        <v>0.04</v>
      </c>
      <c r="Y188" s="180">
        <v>0</v>
      </c>
      <c r="Z188" s="181">
        <v>0.04</v>
      </c>
      <c r="AA188" s="180">
        <v>0.02</v>
      </c>
      <c r="AB188" s="186">
        <v>0</v>
      </c>
    </row>
    <row r="189" spans="7:28" ht="12.75">
      <c r="G189" s="50"/>
      <c r="H189" s="50"/>
      <c r="I189" s="64"/>
      <c r="J189" s="50"/>
      <c r="K189" s="64"/>
      <c r="L189" s="7"/>
      <c r="M189" s="50"/>
      <c r="N189" s="50"/>
      <c r="O189" s="23"/>
      <c r="P189" s="23"/>
      <c r="Q189" s="67"/>
      <c r="R189" s="67"/>
      <c r="S189" s="7"/>
      <c r="T189" s="7"/>
      <c r="U189" s="7"/>
      <c r="V189" s="185">
        <v>94.3999999999999</v>
      </c>
      <c r="W189" s="180">
        <v>0.04</v>
      </c>
      <c r="X189" s="180">
        <v>0.04</v>
      </c>
      <c r="Y189" s="180">
        <v>0</v>
      </c>
      <c r="Z189" s="181">
        <v>0.04</v>
      </c>
      <c r="AA189" s="180">
        <v>0.02</v>
      </c>
      <c r="AB189" s="186">
        <v>0</v>
      </c>
    </row>
    <row r="190" spans="7:28" ht="12.75">
      <c r="G190" s="54"/>
      <c r="H190" s="99"/>
      <c r="I190" s="64"/>
      <c r="J190" s="18"/>
      <c r="K190" s="64"/>
      <c r="L190" s="7"/>
      <c r="M190" s="50"/>
      <c r="N190" s="50"/>
      <c r="O190" s="23"/>
      <c r="P190" s="23"/>
      <c r="Q190" s="67"/>
      <c r="R190" s="67"/>
      <c r="S190" s="7"/>
      <c r="T190" s="7"/>
      <c r="U190" s="7"/>
      <c r="V190" s="185">
        <v>94.4999999999999</v>
      </c>
      <c r="W190" s="180">
        <v>0.04</v>
      </c>
      <c r="X190" s="180">
        <v>0.04</v>
      </c>
      <c r="Y190" s="180">
        <v>0</v>
      </c>
      <c r="Z190" s="181">
        <v>0.04</v>
      </c>
      <c r="AA190" s="180">
        <v>0.02</v>
      </c>
      <c r="AB190" s="186">
        <v>0</v>
      </c>
    </row>
    <row r="191" spans="7:28" ht="12.75">
      <c r="G191" s="54"/>
      <c r="H191" s="54"/>
      <c r="I191" s="64"/>
      <c r="J191" s="18"/>
      <c r="K191" s="64"/>
      <c r="L191" s="7"/>
      <c r="M191" s="50"/>
      <c r="N191" s="50"/>
      <c r="O191" s="23"/>
      <c r="P191" s="23"/>
      <c r="Q191" s="67"/>
      <c r="R191" s="67"/>
      <c r="S191" s="7"/>
      <c r="T191" s="7"/>
      <c r="U191" s="7"/>
      <c r="V191" s="185">
        <v>94.5999999999999</v>
      </c>
      <c r="W191" s="180">
        <v>0.04</v>
      </c>
      <c r="X191" s="180">
        <v>0.04</v>
      </c>
      <c r="Y191" s="180">
        <v>0</v>
      </c>
      <c r="Z191" s="181">
        <v>0.04</v>
      </c>
      <c r="AA191" s="180">
        <v>0.04</v>
      </c>
      <c r="AB191" s="186">
        <v>0</v>
      </c>
    </row>
    <row r="192" spans="7:28" ht="12.75">
      <c r="G192" s="50"/>
      <c r="H192" s="50"/>
      <c r="I192" s="64"/>
      <c r="J192" s="64"/>
      <c r="K192" s="64"/>
      <c r="L192" s="98"/>
      <c r="M192" s="50"/>
      <c r="N192" s="50"/>
      <c r="O192" s="23"/>
      <c r="P192" s="23"/>
      <c r="Q192" s="67"/>
      <c r="R192" s="67"/>
      <c r="S192" s="7"/>
      <c r="T192" s="7"/>
      <c r="U192" s="7"/>
      <c r="V192" s="185">
        <v>94.6999999999999</v>
      </c>
      <c r="W192" s="180">
        <v>0.04</v>
      </c>
      <c r="X192" s="180">
        <v>0.04</v>
      </c>
      <c r="Y192" s="180">
        <v>0</v>
      </c>
      <c r="Z192" s="181">
        <v>0.04</v>
      </c>
      <c r="AA192" s="180">
        <v>0.04</v>
      </c>
      <c r="AB192" s="186">
        <v>0</v>
      </c>
    </row>
    <row r="193" spans="7:28" ht="12.75">
      <c r="G193" s="50"/>
      <c r="H193" s="50"/>
      <c r="I193" s="64"/>
      <c r="J193" s="50"/>
      <c r="K193" s="64"/>
      <c r="L193" s="7"/>
      <c r="M193" s="50"/>
      <c r="N193" s="50"/>
      <c r="O193" s="23"/>
      <c r="P193" s="23"/>
      <c r="Q193" s="67"/>
      <c r="R193" s="67"/>
      <c r="S193" s="7"/>
      <c r="T193" s="7"/>
      <c r="U193" s="7"/>
      <c r="V193" s="185">
        <v>94.7999999999999</v>
      </c>
      <c r="W193" s="180">
        <v>0.04</v>
      </c>
      <c r="X193" s="180">
        <v>0.04</v>
      </c>
      <c r="Y193" s="180">
        <v>0</v>
      </c>
      <c r="Z193" s="181">
        <v>0.04</v>
      </c>
      <c r="AA193" s="180">
        <v>0.04</v>
      </c>
      <c r="AB193" s="186">
        <v>0</v>
      </c>
    </row>
    <row r="194" spans="7:28" ht="12.75">
      <c r="G194" s="99"/>
      <c r="H194" s="99"/>
      <c r="I194" s="64"/>
      <c r="J194" s="18"/>
      <c r="K194" s="64"/>
      <c r="L194" s="97"/>
      <c r="M194" s="50"/>
      <c r="N194" s="50"/>
      <c r="O194" s="23"/>
      <c r="P194" s="23"/>
      <c r="Q194" s="67"/>
      <c r="R194" s="67"/>
      <c r="S194" s="7"/>
      <c r="T194" s="7"/>
      <c r="U194" s="7"/>
      <c r="V194" s="185">
        <v>94.8999999999999</v>
      </c>
      <c r="W194" s="180">
        <v>0.04</v>
      </c>
      <c r="X194" s="180">
        <v>0.04</v>
      </c>
      <c r="Y194" s="180">
        <v>0</v>
      </c>
      <c r="Z194" s="181">
        <v>0.04</v>
      </c>
      <c r="AA194" s="180">
        <v>0.04</v>
      </c>
      <c r="AB194" s="186">
        <v>0</v>
      </c>
    </row>
    <row r="195" spans="7:28" ht="12.75">
      <c r="G195" s="50"/>
      <c r="H195" s="54"/>
      <c r="I195" s="64"/>
      <c r="J195" s="18"/>
      <c r="K195" s="64"/>
      <c r="L195" s="7"/>
      <c r="M195" s="50"/>
      <c r="N195" s="50"/>
      <c r="O195" s="23"/>
      <c r="P195" s="23"/>
      <c r="Q195" s="67"/>
      <c r="R195" s="67"/>
      <c r="S195" s="7"/>
      <c r="T195" s="7"/>
      <c r="U195" s="7"/>
      <c r="V195" s="185">
        <v>94.9999999999999</v>
      </c>
      <c r="W195" s="180">
        <v>0.04</v>
      </c>
      <c r="X195" s="180">
        <v>0.04</v>
      </c>
      <c r="Y195" s="180">
        <v>0</v>
      </c>
      <c r="Z195" s="181">
        <v>0.04</v>
      </c>
      <c r="AA195" s="180">
        <v>0.04</v>
      </c>
      <c r="AB195" s="186">
        <v>0</v>
      </c>
    </row>
    <row r="196" spans="7:28" ht="12.75">
      <c r="G196" s="50"/>
      <c r="H196" s="50"/>
      <c r="I196" s="64"/>
      <c r="J196" s="64"/>
      <c r="K196" s="64"/>
      <c r="L196" s="98"/>
      <c r="M196" s="50"/>
      <c r="N196" s="50"/>
      <c r="O196" s="23"/>
      <c r="P196" s="23"/>
      <c r="Q196" s="67"/>
      <c r="R196" s="67"/>
      <c r="S196" s="7"/>
      <c r="T196" s="7"/>
      <c r="U196" s="7"/>
      <c r="V196" s="185">
        <v>95.0999999999999</v>
      </c>
      <c r="W196" s="180">
        <v>0.04</v>
      </c>
      <c r="X196" s="180">
        <v>0.04</v>
      </c>
      <c r="Y196" s="180">
        <v>0</v>
      </c>
      <c r="Z196" s="181">
        <v>0.04</v>
      </c>
      <c r="AA196" s="180">
        <v>0.04</v>
      </c>
      <c r="AB196" s="186">
        <v>0</v>
      </c>
    </row>
    <row r="197" spans="7:28" ht="12.75">
      <c r="G197" s="50"/>
      <c r="H197" s="50"/>
      <c r="I197" s="64"/>
      <c r="J197" s="50"/>
      <c r="K197" s="64"/>
      <c r="L197" s="7"/>
      <c r="M197" s="50"/>
      <c r="N197" s="50"/>
      <c r="O197" s="23"/>
      <c r="P197" s="23"/>
      <c r="Q197" s="67"/>
      <c r="R197" s="67"/>
      <c r="S197" s="7"/>
      <c r="T197" s="7"/>
      <c r="U197" s="7"/>
      <c r="V197" s="185">
        <v>95.1999999999999</v>
      </c>
      <c r="W197" s="180">
        <v>0.04</v>
      </c>
      <c r="X197" s="180">
        <v>0.04</v>
      </c>
      <c r="Y197" s="180">
        <v>0</v>
      </c>
      <c r="Z197" s="181">
        <v>0.04</v>
      </c>
      <c r="AA197" s="180">
        <v>0.04</v>
      </c>
      <c r="AB197" s="186">
        <v>0</v>
      </c>
    </row>
    <row r="198" spans="7:28" ht="12.75">
      <c r="G198" s="99"/>
      <c r="H198" s="99"/>
      <c r="I198" s="64"/>
      <c r="J198" s="18"/>
      <c r="K198" s="64"/>
      <c r="L198" s="7"/>
      <c r="M198" s="50"/>
      <c r="N198" s="50"/>
      <c r="O198" s="23"/>
      <c r="P198" s="23"/>
      <c r="Q198" s="67"/>
      <c r="R198" s="67"/>
      <c r="S198" s="7"/>
      <c r="T198" s="7"/>
      <c r="U198" s="7"/>
      <c r="V198" s="185">
        <v>95.2999999999999</v>
      </c>
      <c r="W198" s="180">
        <v>0.04</v>
      </c>
      <c r="X198" s="180">
        <v>0.04</v>
      </c>
      <c r="Y198" s="180">
        <v>0</v>
      </c>
      <c r="Z198" s="181">
        <v>0.04</v>
      </c>
      <c r="AA198" s="180">
        <v>0.04</v>
      </c>
      <c r="AB198" s="186">
        <v>0</v>
      </c>
    </row>
    <row r="199" spans="7:28" ht="12.75">
      <c r="G199" s="50"/>
      <c r="H199" s="54"/>
      <c r="I199" s="64"/>
      <c r="J199" s="18"/>
      <c r="K199" s="64"/>
      <c r="L199" s="7"/>
      <c r="M199" s="50"/>
      <c r="N199" s="50"/>
      <c r="O199" s="23"/>
      <c r="P199" s="23"/>
      <c r="Q199" s="67"/>
      <c r="R199" s="67"/>
      <c r="S199" s="7"/>
      <c r="T199" s="7"/>
      <c r="U199" s="7"/>
      <c r="V199" s="238">
        <v>95.3999999999999</v>
      </c>
      <c r="W199" s="180">
        <v>0.04</v>
      </c>
      <c r="X199" s="180">
        <v>0.04</v>
      </c>
      <c r="Y199" s="180">
        <v>0</v>
      </c>
      <c r="Z199" s="181">
        <v>0.04</v>
      </c>
      <c r="AA199" s="180">
        <v>0.04</v>
      </c>
      <c r="AB199" s="186">
        <v>0</v>
      </c>
    </row>
    <row r="200" spans="7:28" ht="12.75">
      <c r="G200" s="50"/>
      <c r="H200" s="50"/>
      <c r="I200" s="64"/>
      <c r="J200" s="64"/>
      <c r="K200" s="64"/>
      <c r="L200" s="98"/>
      <c r="M200" s="50"/>
      <c r="N200" s="50"/>
      <c r="O200" s="23"/>
      <c r="P200" s="23"/>
      <c r="Q200" s="67"/>
      <c r="R200" s="67"/>
      <c r="S200" s="7"/>
      <c r="T200" s="7"/>
      <c r="U200" s="7"/>
      <c r="V200" s="238">
        <v>95.4999999999999</v>
      </c>
      <c r="W200" s="180">
        <v>0.04</v>
      </c>
      <c r="X200" s="180">
        <v>0.04</v>
      </c>
      <c r="Y200" s="180">
        <v>0</v>
      </c>
      <c r="Z200" s="181">
        <v>0.04</v>
      </c>
      <c r="AA200" s="180">
        <v>0.04</v>
      </c>
      <c r="AB200" s="186">
        <v>0</v>
      </c>
    </row>
    <row r="201" spans="7:28" ht="12.75">
      <c r="G201" s="50"/>
      <c r="H201" s="50"/>
      <c r="I201" s="64"/>
      <c r="J201" s="50"/>
      <c r="K201" s="64"/>
      <c r="L201" s="7"/>
      <c r="M201" s="50"/>
      <c r="N201" s="50"/>
      <c r="O201" s="23"/>
      <c r="P201" s="23"/>
      <c r="Q201" s="67"/>
      <c r="R201" s="67"/>
      <c r="S201" s="7"/>
      <c r="T201" s="7"/>
      <c r="U201" s="7"/>
      <c r="V201" s="238">
        <v>95.5999999999999</v>
      </c>
      <c r="W201" s="180">
        <v>0.04</v>
      </c>
      <c r="X201" s="180">
        <v>0.04</v>
      </c>
      <c r="Y201" s="180">
        <v>0</v>
      </c>
      <c r="Z201" s="181">
        <v>0.04</v>
      </c>
      <c r="AA201" s="180">
        <v>0.04</v>
      </c>
      <c r="AB201" s="186">
        <v>0</v>
      </c>
    </row>
    <row r="202" spans="7:28" ht="12.75">
      <c r="G202" s="99"/>
      <c r="H202" s="99"/>
      <c r="I202" s="64"/>
      <c r="J202" s="18"/>
      <c r="K202" s="64"/>
      <c r="L202" s="97"/>
      <c r="M202" s="50"/>
      <c r="N202" s="50"/>
      <c r="O202" s="23"/>
      <c r="P202" s="23"/>
      <c r="Q202" s="67"/>
      <c r="R202" s="67"/>
      <c r="S202" s="7"/>
      <c r="T202" s="7"/>
      <c r="U202" s="7"/>
      <c r="V202" s="238">
        <v>95.6999999999998</v>
      </c>
      <c r="W202" s="180">
        <v>0.04</v>
      </c>
      <c r="X202" s="180">
        <v>0.04</v>
      </c>
      <c r="Y202" s="180">
        <v>0</v>
      </c>
      <c r="Z202" s="181">
        <v>0.04</v>
      </c>
      <c r="AA202" s="180">
        <v>0.04</v>
      </c>
      <c r="AB202" s="186">
        <v>0</v>
      </c>
    </row>
    <row r="203" spans="7:28" ht="12.75">
      <c r="G203" s="50"/>
      <c r="H203" s="7"/>
      <c r="I203" s="7"/>
      <c r="J203" s="18"/>
      <c r="K203" s="64"/>
      <c r="L203" s="7"/>
      <c r="M203" s="50"/>
      <c r="N203" s="50"/>
      <c r="O203" s="23"/>
      <c r="P203" s="23"/>
      <c r="Q203" s="67"/>
      <c r="R203" s="67"/>
      <c r="S203" s="7"/>
      <c r="T203" s="7"/>
      <c r="U203" s="7"/>
      <c r="V203" s="185">
        <v>95.7999999999998</v>
      </c>
      <c r="W203" s="180">
        <v>0.04</v>
      </c>
      <c r="X203" s="180">
        <v>0.04</v>
      </c>
      <c r="Y203" s="180">
        <v>0</v>
      </c>
      <c r="Z203" s="181">
        <v>0.04</v>
      </c>
      <c r="AA203" s="180">
        <v>0.04</v>
      </c>
      <c r="AB203" s="186">
        <v>0</v>
      </c>
    </row>
    <row r="204" spans="7:28" ht="12.75">
      <c r="G204" s="50"/>
      <c r="H204" s="50"/>
      <c r="I204" s="64"/>
      <c r="J204" s="64"/>
      <c r="K204" s="64"/>
      <c r="L204" s="98"/>
      <c r="M204" s="50"/>
      <c r="N204" s="50"/>
      <c r="O204" s="23"/>
      <c r="P204" s="23"/>
      <c r="Q204" s="67"/>
      <c r="R204" s="67"/>
      <c r="S204" s="7"/>
      <c r="T204" s="7"/>
      <c r="U204" s="7"/>
      <c r="V204" s="185">
        <v>95.8999999999998</v>
      </c>
      <c r="W204" s="180">
        <v>0.04</v>
      </c>
      <c r="X204" s="180">
        <v>0.04</v>
      </c>
      <c r="Y204" s="180">
        <v>0</v>
      </c>
      <c r="Z204" s="181">
        <v>0.04</v>
      </c>
      <c r="AA204" s="180">
        <v>0.04</v>
      </c>
      <c r="AB204" s="186">
        <v>0</v>
      </c>
    </row>
    <row r="205" spans="7:28" ht="12.75">
      <c r="G205" s="50"/>
      <c r="H205" s="50"/>
      <c r="I205" s="64"/>
      <c r="J205" s="50"/>
      <c r="K205" s="64"/>
      <c r="L205" s="7"/>
      <c r="M205" s="50"/>
      <c r="N205" s="50"/>
      <c r="O205" s="23"/>
      <c r="P205" s="23"/>
      <c r="Q205" s="67"/>
      <c r="R205" s="67"/>
      <c r="S205" s="7"/>
      <c r="T205" s="7"/>
      <c r="U205" s="7"/>
      <c r="V205" s="185">
        <v>95.9999999999998</v>
      </c>
      <c r="W205" s="180">
        <v>0.04</v>
      </c>
      <c r="X205" s="180">
        <v>0.04</v>
      </c>
      <c r="Y205" s="180">
        <v>0</v>
      </c>
      <c r="Z205" s="181">
        <v>0.04</v>
      </c>
      <c r="AA205" s="180">
        <v>0.04</v>
      </c>
      <c r="AB205" s="186">
        <v>0</v>
      </c>
    </row>
    <row r="206" spans="7:28" ht="12.75">
      <c r="G206" s="99"/>
      <c r="H206" s="99"/>
      <c r="I206" s="64"/>
      <c r="J206" s="18"/>
      <c r="K206" s="64"/>
      <c r="L206" s="7"/>
      <c r="M206" s="50"/>
      <c r="N206" s="50"/>
      <c r="O206" s="23"/>
      <c r="P206" s="23"/>
      <c r="Q206" s="67"/>
      <c r="R206" s="67"/>
      <c r="S206" s="7"/>
      <c r="T206" s="7"/>
      <c r="U206" s="7"/>
      <c r="V206" s="185">
        <v>96.0999999999998</v>
      </c>
      <c r="W206" s="180">
        <v>0.04</v>
      </c>
      <c r="X206" s="180">
        <v>0.04</v>
      </c>
      <c r="Y206" s="180">
        <v>0</v>
      </c>
      <c r="Z206" s="181">
        <v>0.04</v>
      </c>
      <c r="AA206" s="180">
        <v>0.04</v>
      </c>
      <c r="AB206" s="186">
        <v>0</v>
      </c>
    </row>
    <row r="207" spans="7:28" ht="12.75">
      <c r="G207" s="50"/>
      <c r="H207" s="54"/>
      <c r="I207" s="64"/>
      <c r="J207" s="18"/>
      <c r="K207" s="64"/>
      <c r="L207" s="7"/>
      <c r="M207" s="50"/>
      <c r="N207" s="50"/>
      <c r="O207" s="23"/>
      <c r="P207" s="23"/>
      <c r="Q207" s="67"/>
      <c r="R207" s="67"/>
      <c r="S207" s="7"/>
      <c r="T207" s="7"/>
      <c r="U207" s="7"/>
      <c r="V207" s="185">
        <v>96.1999999999998</v>
      </c>
      <c r="W207" s="180">
        <v>0.04</v>
      </c>
      <c r="X207" s="180">
        <v>0.04</v>
      </c>
      <c r="Y207" s="180">
        <v>0</v>
      </c>
      <c r="Z207" s="181">
        <v>0.04</v>
      </c>
      <c r="AA207" s="180">
        <v>0.04</v>
      </c>
      <c r="AB207" s="186">
        <v>0</v>
      </c>
    </row>
    <row r="208" spans="7:28" ht="12.75">
      <c r="G208" s="50"/>
      <c r="H208" s="50"/>
      <c r="I208" s="64"/>
      <c r="J208" s="64"/>
      <c r="K208" s="64"/>
      <c r="L208" s="98"/>
      <c r="M208" s="50"/>
      <c r="N208" s="50"/>
      <c r="O208" s="23"/>
      <c r="P208" s="23"/>
      <c r="Q208" s="67"/>
      <c r="R208" s="67"/>
      <c r="S208" s="7"/>
      <c r="T208" s="7"/>
      <c r="U208" s="7"/>
      <c r="V208" s="185">
        <v>96.2999999999998</v>
      </c>
      <c r="W208" s="180">
        <v>0.04</v>
      </c>
      <c r="X208" s="180">
        <v>0.04</v>
      </c>
      <c r="Y208" s="180">
        <v>0</v>
      </c>
      <c r="Z208" s="181">
        <v>0.04</v>
      </c>
      <c r="AA208" s="180">
        <v>0.04</v>
      </c>
      <c r="AB208" s="186">
        <v>0</v>
      </c>
    </row>
    <row r="209" spans="7:28" ht="12.75">
      <c r="G209" s="50"/>
      <c r="H209" s="50"/>
      <c r="I209" s="64"/>
      <c r="J209" s="50"/>
      <c r="K209" s="64"/>
      <c r="L209" s="7"/>
      <c r="M209" s="50"/>
      <c r="N209" s="50"/>
      <c r="O209" s="23"/>
      <c r="P209" s="23"/>
      <c r="Q209" s="67"/>
      <c r="R209" s="67"/>
      <c r="S209" s="7"/>
      <c r="T209" s="7"/>
      <c r="U209" s="7"/>
      <c r="V209" s="185">
        <v>96.3999999999998</v>
      </c>
      <c r="W209" s="180">
        <v>0.04</v>
      </c>
      <c r="X209" s="180">
        <v>0.04</v>
      </c>
      <c r="Y209" s="180">
        <v>0</v>
      </c>
      <c r="Z209" s="181">
        <v>0.04</v>
      </c>
      <c r="AA209" s="180">
        <v>0.04</v>
      </c>
      <c r="AB209" s="186">
        <v>0</v>
      </c>
    </row>
    <row r="210" spans="7:28" ht="12.75">
      <c r="G210" s="99"/>
      <c r="H210" s="99"/>
      <c r="I210" s="64"/>
      <c r="J210" s="18"/>
      <c r="K210" s="64"/>
      <c r="L210" s="7"/>
      <c r="M210" s="50"/>
      <c r="N210" s="50"/>
      <c r="O210" s="23"/>
      <c r="P210" s="23"/>
      <c r="Q210" s="67"/>
      <c r="R210" s="67"/>
      <c r="S210" s="7"/>
      <c r="T210" s="7"/>
      <c r="U210" s="7"/>
      <c r="V210" s="185">
        <v>96.4999999999998</v>
      </c>
      <c r="W210" s="180">
        <v>0.04</v>
      </c>
      <c r="X210" s="180">
        <v>0.04</v>
      </c>
      <c r="Y210" s="180">
        <v>0</v>
      </c>
      <c r="Z210" s="181">
        <v>0.04</v>
      </c>
      <c r="AA210" s="180">
        <v>0.04</v>
      </c>
      <c r="AB210" s="186">
        <v>0</v>
      </c>
    </row>
    <row r="211" spans="7:28" ht="12.75">
      <c r="G211" s="50"/>
      <c r="H211" s="54"/>
      <c r="I211" s="64"/>
      <c r="J211" s="18"/>
      <c r="K211" s="64"/>
      <c r="L211" s="50"/>
      <c r="M211" s="50"/>
      <c r="N211" s="50"/>
      <c r="O211" s="23"/>
      <c r="P211" s="23"/>
      <c r="Q211" s="67"/>
      <c r="R211" s="67"/>
      <c r="S211" s="7"/>
      <c r="T211" s="7"/>
      <c r="U211" s="7"/>
      <c r="V211" s="185">
        <v>96.5999999999998</v>
      </c>
      <c r="W211" s="180">
        <v>0.04</v>
      </c>
      <c r="X211" s="180">
        <v>0.04</v>
      </c>
      <c r="Y211" s="180">
        <v>0</v>
      </c>
      <c r="Z211" s="181">
        <v>0.04</v>
      </c>
      <c r="AA211" s="180">
        <v>0.04</v>
      </c>
      <c r="AB211" s="186">
        <v>0</v>
      </c>
    </row>
    <row r="212" spans="7:28" ht="12.75">
      <c r="G212" s="50"/>
      <c r="H212" s="50"/>
      <c r="I212" s="64"/>
      <c r="J212" s="64"/>
      <c r="K212" s="64"/>
      <c r="L212" s="98"/>
      <c r="M212" s="50"/>
      <c r="N212" s="50"/>
      <c r="O212" s="23"/>
      <c r="P212" s="23"/>
      <c r="Q212" s="67"/>
      <c r="R212" s="67"/>
      <c r="S212" s="7"/>
      <c r="T212" s="7"/>
      <c r="U212" s="7"/>
      <c r="V212" s="185">
        <v>96.6999999999998</v>
      </c>
      <c r="W212" s="180">
        <v>0.04</v>
      </c>
      <c r="X212" s="180">
        <v>0.04</v>
      </c>
      <c r="Y212" s="180">
        <v>0</v>
      </c>
      <c r="Z212" s="181">
        <v>0.04</v>
      </c>
      <c r="AA212" s="180">
        <v>0.04</v>
      </c>
      <c r="AB212" s="186">
        <v>0</v>
      </c>
    </row>
    <row r="213" spans="7:28" ht="12.75">
      <c r="G213" s="50"/>
      <c r="H213" s="50"/>
      <c r="I213" s="64"/>
      <c r="J213" s="50"/>
      <c r="K213" s="64"/>
      <c r="L213" s="7"/>
      <c r="M213" s="50"/>
      <c r="N213" s="50"/>
      <c r="O213" s="23"/>
      <c r="P213" s="23"/>
      <c r="Q213" s="67"/>
      <c r="R213" s="67"/>
      <c r="S213" s="7"/>
      <c r="T213" s="7"/>
      <c r="U213" s="7"/>
      <c r="V213" s="238">
        <v>96.7999999999998</v>
      </c>
      <c r="W213" s="180">
        <v>0.04</v>
      </c>
      <c r="X213" s="180">
        <v>0.04</v>
      </c>
      <c r="Y213" s="180">
        <v>0</v>
      </c>
      <c r="Z213" s="181">
        <v>0.04</v>
      </c>
      <c r="AA213" s="180">
        <v>0.04</v>
      </c>
      <c r="AB213" s="186">
        <v>0</v>
      </c>
    </row>
    <row r="214" spans="7:28" ht="12.75">
      <c r="G214" s="99"/>
      <c r="H214" s="99"/>
      <c r="I214" s="64"/>
      <c r="J214" s="18"/>
      <c r="K214" s="64"/>
      <c r="L214" s="18"/>
      <c r="M214" s="50"/>
      <c r="N214" s="50"/>
      <c r="O214" s="23"/>
      <c r="P214" s="23"/>
      <c r="Q214" s="67"/>
      <c r="R214" s="67"/>
      <c r="S214" s="7"/>
      <c r="T214" s="7"/>
      <c r="U214" s="7"/>
      <c r="V214" s="238">
        <v>96.8999999999998</v>
      </c>
      <c r="W214" s="180">
        <v>0.04</v>
      </c>
      <c r="X214" s="180">
        <v>0.04</v>
      </c>
      <c r="Y214" s="180">
        <v>0</v>
      </c>
      <c r="Z214" s="181">
        <v>0.04</v>
      </c>
      <c r="AA214" s="180">
        <v>0.04</v>
      </c>
      <c r="AB214" s="186">
        <v>0</v>
      </c>
    </row>
    <row r="215" spans="7:28" ht="12.75">
      <c r="G215" s="7"/>
      <c r="H215" s="7"/>
      <c r="I215" s="7"/>
      <c r="J215" s="7"/>
      <c r="K215" s="7"/>
      <c r="L215" s="7"/>
      <c r="M215" s="7"/>
      <c r="N215" s="7"/>
      <c r="O215" s="7"/>
      <c r="P215" s="7"/>
      <c r="Q215" s="7"/>
      <c r="R215" s="7"/>
      <c r="S215" s="7"/>
      <c r="T215" s="7"/>
      <c r="U215" s="7"/>
      <c r="V215" s="238">
        <v>96.9999999999998</v>
      </c>
      <c r="W215" s="180">
        <v>0.04</v>
      </c>
      <c r="X215" s="180">
        <v>0.04</v>
      </c>
      <c r="Y215" s="180">
        <v>0</v>
      </c>
      <c r="Z215" s="181">
        <v>0.04</v>
      </c>
      <c r="AA215" s="180">
        <v>0.04</v>
      </c>
      <c r="AB215" s="186">
        <v>0</v>
      </c>
    </row>
    <row r="216" spans="7:28" ht="12.75">
      <c r="G216" s="7"/>
      <c r="H216" s="37"/>
      <c r="I216" s="64"/>
      <c r="J216" s="37"/>
      <c r="K216" s="64"/>
      <c r="L216" s="7"/>
      <c r="M216" s="100"/>
      <c r="N216" s="50"/>
      <c r="O216" s="7"/>
      <c r="P216" s="7"/>
      <c r="Q216" s="101"/>
      <c r="R216" s="101"/>
      <c r="S216" s="7"/>
      <c r="T216" s="7"/>
      <c r="U216" s="7"/>
      <c r="V216" s="238">
        <v>97.0999999999998</v>
      </c>
      <c r="W216" s="180">
        <v>0.04</v>
      </c>
      <c r="X216" s="180">
        <v>0.04</v>
      </c>
      <c r="Y216" s="180">
        <v>0</v>
      </c>
      <c r="Z216" s="181">
        <v>0.04</v>
      </c>
      <c r="AA216" s="180">
        <v>0.04</v>
      </c>
      <c r="AB216" s="186">
        <v>0</v>
      </c>
    </row>
    <row r="217" spans="7:28" ht="12.75">
      <c r="G217" s="7"/>
      <c r="H217" s="7"/>
      <c r="I217" s="7"/>
      <c r="J217" s="7"/>
      <c r="K217" s="7"/>
      <c r="L217" s="7"/>
      <c r="M217" s="7"/>
      <c r="N217" s="7"/>
      <c r="O217" s="7"/>
      <c r="P217" s="7"/>
      <c r="Q217" s="7"/>
      <c r="R217" s="7"/>
      <c r="S217" s="7"/>
      <c r="T217" s="7"/>
      <c r="U217" s="7"/>
      <c r="V217" s="185">
        <v>97.1999999999998</v>
      </c>
      <c r="W217" s="180">
        <v>0.04</v>
      </c>
      <c r="X217" s="180">
        <v>0.04</v>
      </c>
      <c r="Y217" s="180">
        <v>0</v>
      </c>
      <c r="Z217" s="181">
        <v>0.04</v>
      </c>
      <c r="AA217" s="180">
        <v>0.04</v>
      </c>
      <c r="AB217" s="186">
        <v>0</v>
      </c>
    </row>
    <row r="218" spans="7:28" ht="12.75">
      <c r="G218" s="7"/>
      <c r="H218" s="37"/>
      <c r="I218" s="7"/>
      <c r="J218" s="7"/>
      <c r="K218" s="7"/>
      <c r="L218" s="7"/>
      <c r="M218" s="7"/>
      <c r="N218" s="102"/>
      <c r="O218" s="7"/>
      <c r="P218" s="7"/>
      <c r="Q218" s="7"/>
      <c r="R218" s="7"/>
      <c r="S218" s="7"/>
      <c r="T218" s="7"/>
      <c r="U218" s="7"/>
      <c r="V218" s="185">
        <v>97.2999999999998</v>
      </c>
      <c r="W218" s="180">
        <v>0.04</v>
      </c>
      <c r="X218" s="180">
        <v>0.04</v>
      </c>
      <c r="Y218" s="180">
        <v>0</v>
      </c>
      <c r="Z218" s="181">
        <v>0.04</v>
      </c>
      <c r="AA218" s="180">
        <v>0.04</v>
      </c>
      <c r="AB218" s="186">
        <v>0</v>
      </c>
    </row>
    <row r="219" spans="7:28" ht="12.75">
      <c r="G219" s="7"/>
      <c r="H219" s="7"/>
      <c r="I219" s="7"/>
      <c r="J219" s="7"/>
      <c r="K219" s="7"/>
      <c r="L219" s="7"/>
      <c r="M219" s="7"/>
      <c r="N219" s="7"/>
      <c r="O219" s="7"/>
      <c r="P219" s="7"/>
      <c r="Q219" s="7"/>
      <c r="R219" s="7"/>
      <c r="S219" s="7"/>
      <c r="T219" s="7"/>
      <c r="U219" s="7"/>
      <c r="V219" s="185">
        <v>97.3999999999997</v>
      </c>
      <c r="W219" s="180">
        <v>0.04</v>
      </c>
      <c r="X219" s="180">
        <v>0.04</v>
      </c>
      <c r="Y219" s="180">
        <v>0</v>
      </c>
      <c r="Z219" s="181">
        <v>0.04</v>
      </c>
      <c r="AA219" s="180">
        <v>0.04</v>
      </c>
      <c r="AB219" s="186">
        <v>0</v>
      </c>
    </row>
    <row r="220" spans="7:28" ht="12.75">
      <c r="G220" s="7"/>
      <c r="H220" s="7"/>
      <c r="I220" s="7"/>
      <c r="J220" s="7"/>
      <c r="K220" s="7"/>
      <c r="L220" s="7"/>
      <c r="M220" s="7"/>
      <c r="N220" s="7"/>
      <c r="O220" s="7"/>
      <c r="P220" s="7"/>
      <c r="Q220" s="7"/>
      <c r="R220" s="7"/>
      <c r="S220" s="7"/>
      <c r="T220" s="7"/>
      <c r="U220" s="7"/>
      <c r="V220" s="185">
        <v>97.4999999999997</v>
      </c>
      <c r="W220" s="180">
        <v>0.04</v>
      </c>
      <c r="X220" s="180">
        <v>0.04</v>
      </c>
      <c r="Y220" s="180">
        <v>0</v>
      </c>
      <c r="Z220" s="181">
        <v>0.04</v>
      </c>
      <c r="AA220" s="180">
        <v>0.04</v>
      </c>
      <c r="AB220" s="186">
        <v>0</v>
      </c>
    </row>
    <row r="221" spans="7:28" ht="30">
      <c r="G221" s="103"/>
      <c r="H221" s="76"/>
      <c r="I221" s="7"/>
      <c r="J221" s="7"/>
      <c r="K221" s="7"/>
      <c r="L221" s="77"/>
      <c r="M221" s="77"/>
      <c r="N221" s="77"/>
      <c r="O221" s="7"/>
      <c r="P221" s="7"/>
      <c r="Q221" s="7"/>
      <c r="R221" s="7"/>
      <c r="S221" s="7"/>
      <c r="T221" s="7"/>
      <c r="U221" s="7"/>
      <c r="V221" s="185">
        <v>97.5999999999997</v>
      </c>
      <c r="W221" s="180">
        <v>0.04</v>
      </c>
      <c r="X221" s="180">
        <v>0.04</v>
      </c>
      <c r="Y221" s="180">
        <v>0</v>
      </c>
      <c r="Z221" s="181">
        <v>0.04</v>
      </c>
      <c r="AA221" s="180">
        <v>0.04</v>
      </c>
      <c r="AB221" s="186">
        <v>0</v>
      </c>
    </row>
    <row r="222" spans="7:28" ht="12.75">
      <c r="G222" s="7"/>
      <c r="H222" s="7"/>
      <c r="I222" s="7"/>
      <c r="J222" s="7"/>
      <c r="K222" s="7"/>
      <c r="L222" s="7"/>
      <c r="M222" s="7"/>
      <c r="N222" s="7"/>
      <c r="O222" s="7"/>
      <c r="P222" s="7"/>
      <c r="Q222" s="7"/>
      <c r="R222" s="7"/>
      <c r="S222" s="7"/>
      <c r="T222" s="7"/>
      <c r="U222" s="7"/>
      <c r="V222" s="185">
        <v>97.6999999999997</v>
      </c>
      <c r="W222" s="180">
        <v>0.04</v>
      </c>
      <c r="X222" s="180">
        <v>0.04</v>
      </c>
      <c r="Y222" s="180">
        <v>0</v>
      </c>
      <c r="Z222" s="181">
        <v>0.04</v>
      </c>
      <c r="AA222" s="180">
        <v>0.04</v>
      </c>
      <c r="AB222" s="186">
        <v>0</v>
      </c>
    </row>
    <row r="223" spans="7:28" ht="12.75">
      <c r="G223" s="104"/>
      <c r="H223" s="104"/>
      <c r="I223" s="7"/>
      <c r="J223" s="104"/>
      <c r="K223" s="104"/>
      <c r="L223" s="7"/>
      <c r="M223" s="105"/>
      <c r="N223" s="106"/>
      <c r="O223" s="7"/>
      <c r="P223" s="7"/>
      <c r="Q223" s="7"/>
      <c r="R223" s="7"/>
      <c r="S223" s="7"/>
      <c r="T223" s="7"/>
      <c r="U223" s="7"/>
      <c r="V223" s="185"/>
      <c r="W223" s="180"/>
      <c r="X223" s="180">
        <v>0.04</v>
      </c>
      <c r="Y223" s="180"/>
      <c r="Z223" s="181"/>
      <c r="AA223" s="180"/>
      <c r="AB223" s="186"/>
    </row>
    <row r="224" spans="7:28" ht="12.75">
      <c r="G224" s="104"/>
      <c r="H224" s="104"/>
      <c r="I224" s="104"/>
      <c r="J224" s="104"/>
      <c r="K224" s="105"/>
      <c r="L224" s="106"/>
      <c r="M224" s="7"/>
      <c r="N224" s="107"/>
      <c r="O224" s="54"/>
      <c r="P224" s="54"/>
      <c r="Q224" s="50"/>
      <c r="R224" s="50"/>
      <c r="S224" s="7"/>
      <c r="T224" s="7"/>
      <c r="U224" s="7"/>
      <c r="V224" s="185"/>
      <c r="W224" s="180"/>
      <c r="X224" s="180">
        <v>0.04</v>
      </c>
      <c r="Y224" s="180"/>
      <c r="Z224" s="181"/>
      <c r="AA224" s="180"/>
      <c r="AB224" s="186"/>
    </row>
    <row r="225" spans="7:28" ht="12.75">
      <c r="G225" s="54"/>
      <c r="H225" s="7"/>
      <c r="I225" s="107"/>
      <c r="J225" s="7"/>
      <c r="K225" s="54"/>
      <c r="L225" s="108"/>
      <c r="M225" s="54"/>
      <c r="N225" s="108"/>
      <c r="O225" s="109"/>
      <c r="P225" s="109"/>
      <c r="Q225" s="50"/>
      <c r="R225" s="50"/>
      <c r="S225" s="7"/>
      <c r="T225" s="7"/>
      <c r="U225" s="7"/>
      <c r="V225" s="185"/>
      <c r="W225" s="180"/>
      <c r="X225" s="180">
        <v>0.04</v>
      </c>
      <c r="Y225" s="180"/>
      <c r="Z225" s="181"/>
      <c r="AA225" s="180"/>
      <c r="AB225" s="186"/>
    </row>
    <row r="226" spans="7:28" ht="12.75">
      <c r="G226" s="107"/>
      <c r="H226" s="107"/>
      <c r="I226" s="18"/>
      <c r="J226" s="37"/>
      <c r="K226" s="37"/>
      <c r="L226" s="50"/>
      <c r="M226" s="54"/>
      <c r="N226" s="64"/>
      <c r="O226" s="110"/>
      <c r="P226" s="110"/>
      <c r="Q226" s="7"/>
      <c r="R226" s="7"/>
      <c r="S226" s="7"/>
      <c r="T226" s="7"/>
      <c r="U226" s="7"/>
      <c r="V226" s="240"/>
      <c r="W226" s="234"/>
      <c r="X226" s="180">
        <v>0.04</v>
      </c>
      <c r="Y226" s="234"/>
      <c r="Z226" s="234"/>
      <c r="AA226" s="234"/>
      <c r="AB226" s="241"/>
    </row>
    <row r="227" spans="7:28" ht="13.5" thickBot="1">
      <c r="G227" s="37"/>
      <c r="H227" s="37"/>
      <c r="I227" s="50"/>
      <c r="J227" s="107"/>
      <c r="K227" s="37"/>
      <c r="L227" s="50"/>
      <c r="M227" s="107"/>
      <c r="N227" s="37"/>
      <c r="O227" s="111"/>
      <c r="P227" s="111"/>
      <c r="Q227" s="7"/>
      <c r="R227" s="7"/>
      <c r="S227" s="7"/>
      <c r="T227" s="7"/>
      <c r="U227" s="7"/>
      <c r="V227" s="242"/>
      <c r="W227" s="243"/>
      <c r="X227" s="189">
        <v>0.04</v>
      </c>
      <c r="Y227" s="243"/>
      <c r="Z227" s="243"/>
      <c r="AA227" s="243"/>
      <c r="AB227" s="244"/>
    </row>
    <row r="228" spans="7:25" ht="12.75">
      <c r="G228" s="54"/>
      <c r="H228" s="50"/>
      <c r="I228" s="7"/>
      <c r="J228" s="37"/>
      <c r="K228" s="37"/>
      <c r="L228" s="62"/>
      <c r="M228" s="37"/>
      <c r="N228" s="7"/>
      <c r="O228" s="7"/>
      <c r="P228" s="7"/>
      <c r="Q228" s="7"/>
      <c r="R228" s="7"/>
      <c r="S228" s="7"/>
      <c r="T228" s="7"/>
      <c r="U228" s="7"/>
      <c r="V228" s="7"/>
      <c r="W228" s="7"/>
      <c r="X228" s="7"/>
      <c r="Y228" s="7"/>
    </row>
    <row r="229" spans="7:25" ht="12.75">
      <c r="G229" s="7"/>
      <c r="H229" s="7"/>
      <c r="I229" s="7"/>
      <c r="J229" s="7"/>
      <c r="K229" s="7"/>
      <c r="L229" s="7"/>
      <c r="M229" s="7"/>
      <c r="N229" s="7"/>
      <c r="O229" s="7"/>
      <c r="P229" s="7"/>
      <c r="Q229" s="7"/>
      <c r="R229" s="7"/>
      <c r="S229" s="7"/>
      <c r="T229" s="7"/>
      <c r="U229" s="7"/>
      <c r="V229" s="7"/>
      <c r="W229" s="7"/>
      <c r="X229" s="7"/>
      <c r="Y229" s="7"/>
    </row>
    <row r="230" spans="7:25" ht="12.75">
      <c r="G230" s="7"/>
      <c r="H230" s="112"/>
      <c r="I230" s="96"/>
      <c r="J230" s="23"/>
      <c r="K230" s="23"/>
      <c r="L230" s="23"/>
      <c r="M230" s="23"/>
      <c r="N230" s="23"/>
      <c r="O230" s="23"/>
      <c r="P230" s="23"/>
      <c r="Q230" s="7"/>
      <c r="R230" s="7"/>
      <c r="S230" s="7"/>
      <c r="T230" s="7"/>
      <c r="U230" s="7"/>
      <c r="V230" s="7"/>
      <c r="W230" s="7"/>
      <c r="X230" s="7"/>
      <c r="Y230" s="7"/>
    </row>
    <row r="231" spans="7:25" ht="12.75">
      <c r="G231" s="54"/>
      <c r="H231" s="112"/>
      <c r="I231" s="96"/>
      <c r="J231" s="23"/>
      <c r="K231" s="23"/>
      <c r="L231" s="23"/>
      <c r="M231" s="23"/>
      <c r="N231" s="23"/>
      <c r="O231" s="23"/>
      <c r="P231" s="23"/>
      <c r="Q231" s="7"/>
      <c r="R231" s="7"/>
      <c r="S231" s="50"/>
      <c r="T231" s="50"/>
      <c r="U231" s="50"/>
      <c r="V231" s="50"/>
      <c r="W231" s="50"/>
      <c r="X231" s="50"/>
      <c r="Y231" s="50"/>
    </row>
    <row r="232" spans="7:25" ht="12.75">
      <c r="G232" s="7"/>
      <c r="H232" s="95"/>
      <c r="I232" s="96"/>
      <c r="J232" s="64"/>
      <c r="K232" s="64"/>
      <c r="L232" s="64"/>
      <c r="M232" s="64"/>
      <c r="N232" s="64"/>
      <c r="O232" s="64"/>
      <c r="P232" s="64"/>
      <c r="Q232" s="7"/>
      <c r="R232" s="7"/>
      <c r="S232" s="7"/>
      <c r="T232" s="7"/>
      <c r="U232" s="7"/>
      <c r="V232" s="7"/>
      <c r="W232" s="7"/>
      <c r="X232" s="7"/>
      <c r="Y232" s="7"/>
    </row>
    <row r="233" spans="7:25" ht="12.75">
      <c r="G233" s="7"/>
      <c r="H233" s="95"/>
      <c r="I233" s="96"/>
      <c r="J233" s="18"/>
      <c r="K233" s="18"/>
      <c r="L233" s="18"/>
      <c r="M233" s="18"/>
      <c r="N233" s="18"/>
      <c r="O233" s="18"/>
      <c r="P233" s="18"/>
      <c r="Q233" s="7"/>
      <c r="R233" s="7"/>
      <c r="S233" s="7"/>
      <c r="T233" s="7"/>
      <c r="U233" s="7"/>
      <c r="V233" s="7"/>
      <c r="W233" s="7"/>
      <c r="X233" s="7"/>
      <c r="Y233" s="7"/>
    </row>
    <row r="234" spans="7:25" ht="12.75">
      <c r="G234" s="7"/>
      <c r="H234" s="7"/>
      <c r="I234" s="7"/>
      <c r="J234" s="7"/>
      <c r="K234" s="7"/>
      <c r="L234" s="7"/>
      <c r="M234" s="7"/>
      <c r="N234" s="7"/>
      <c r="O234" s="7"/>
      <c r="P234" s="7"/>
      <c r="Q234" s="7"/>
      <c r="R234" s="7"/>
      <c r="S234" s="7"/>
      <c r="T234" s="7"/>
      <c r="U234" s="7"/>
      <c r="V234" s="7"/>
      <c r="W234" s="7"/>
      <c r="X234" s="7"/>
      <c r="Y234" s="7"/>
    </row>
    <row r="235" spans="7:25" ht="12.75">
      <c r="G235" s="7"/>
      <c r="H235" s="7"/>
      <c r="I235" s="7"/>
      <c r="J235" s="54"/>
      <c r="K235" s="54"/>
      <c r="L235" s="54"/>
      <c r="M235" s="54"/>
      <c r="N235" s="54"/>
      <c r="O235" s="54"/>
      <c r="P235" s="54"/>
      <c r="Q235" s="54"/>
      <c r="R235" s="54"/>
      <c r="S235" s="7"/>
      <c r="T235" s="7"/>
      <c r="U235" s="7"/>
      <c r="V235" s="7"/>
      <c r="W235" s="7"/>
      <c r="X235" s="7"/>
      <c r="Y235" s="7"/>
    </row>
    <row r="236" spans="7:25" ht="12.75">
      <c r="G236" s="54"/>
      <c r="H236" s="54"/>
      <c r="I236" s="37"/>
      <c r="J236" s="54"/>
      <c r="K236" s="54"/>
      <c r="L236" s="54"/>
      <c r="M236" s="54"/>
      <c r="N236" s="37"/>
      <c r="O236" s="58"/>
      <c r="P236" s="58"/>
      <c r="Q236" s="58"/>
      <c r="R236" s="58"/>
      <c r="S236" s="58"/>
      <c r="T236" s="58"/>
      <c r="U236" s="58"/>
      <c r="V236" s="58"/>
      <c r="W236" s="58"/>
      <c r="X236" s="58"/>
      <c r="Y236" s="58"/>
    </row>
    <row r="237" spans="7:25" ht="12.75">
      <c r="G237" s="7"/>
      <c r="H237" s="7"/>
      <c r="I237" s="7"/>
      <c r="J237" s="50"/>
      <c r="K237" s="50"/>
      <c r="L237" s="97"/>
      <c r="M237" s="7"/>
      <c r="N237" s="7"/>
      <c r="O237" s="23"/>
      <c r="P237" s="23"/>
      <c r="Q237" s="63"/>
      <c r="R237" s="63"/>
      <c r="S237" s="23"/>
      <c r="T237" s="23"/>
      <c r="U237" s="23"/>
      <c r="V237" s="23"/>
      <c r="W237" s="23"/>
      <c r="X237" s="23"/>
      <c r="Y237" s="23"/>
    </row>
    <row r="238" spans="7:25" ht="12.75">
      <c r="G238" s="50"/>
      <c r="H238" s="50"/>
      <c r="I238" s="64"/>
      <c r="J238" s="64"/>
      <c r="K238" s="64"/>
      <c r="L238" s="98"/>
      <c r="M238" s="50"/>
      <c r="N238" s="50"/>
      <c r="O238" s="23"/>
      <c r="P238" s="23"/>
      <c r="Q238" s="67"/>
      <c r="R238" s="67"/>
      <c r="S238" s="64"/>
      <c r="T238" s="64"/>
      <c r="U238" s="64"/>
      <c r="V238" s="64"/>
      <c r="W238" s="64"/>
      <c r="X238" s="64"/>
      <c r="Y238" s="64"/>
    </row>
    <row r="239" spans="7:25" ht="12.75">
      <c r="G239" s="50"/>
      <c r="H239" s="50"/>
      <c r="I239" s="64"/>
      <c r="J239" s="50"/>
      <c r="K239" s="64"/>
      <c r="L239" s="7"/>
      <c r="M239" s="50"/>
      <c r="N239" s="50"/>
      <c r="O239" s="23"/>
      <c r="P239" s="23"/>
      <c r="Q239" s="67"/>
      <c r="R239" s="67"/>
      <c r="S239" s="7"/>
      <c r="T239" s="7"/>
      <c r="U239" s="7"/>
      <c r="V239" s="7"/>
      <c r="W239" s="7"/>
      <c r="X239" s="7"/>
      <c r="Y239" s="7"/>
    </row>
    <row r="240" spans="7:25" ht="12.75">
      <c r="G240" s="54"/>
      <c r="H240" s="99"/>
      <c r="I240" s="64"/>
      <c r="J240" s="18"/>
      <c r="K240" s="64"/>
      <c r="L240" s="7"/>
      <c r="M240" s="50"/>
      <c r="N240" s="50"/>
      <c r="O240" s="23"/>
      <c r="P240" s="23"/>
      <c r="Q240" s="67"/>
      <c r="R240" s="67"/>
      <c r="S240" s="7"/>
      <c r="T240" s="7"/>
      <c r="U240" s="7"/>
      <c r="V240" s="7"/>
      <c r="W240" s="7"/>
      <c r="X240" s="7"/>
      <c r="Y240" s="7"/>
    </row>
    <row r="241" spans="7:25" ht="12.75">
      <c r="G241" s="54"/>
      <c r="H241" s="54"/>
      <c r="I241" s="64"/>
      <c r="J241" s="18"/>
      <c r="K241" s="64"/>
      <c r="L241" s="7"/>
      <c r="M241" s="50"/>
      <c r="N241" s="50"/>
      <c r="O241" s="23"/>
      <c r="P241" s="23"/>
      <c r="Q241" s="67"/>
      <c r="R241" s="67"/>
      <c r="S241" s="7"/>
      <c r="T241" s="7"/>
      <c r="U241" s="7"/>
      <c r="V241" s="7"/>
      <c r="W241" s="7"/>
      <c r="X241" s="7"/>
      <c r="Y241" s="7"/>
    </row>
    <row r="242" spans="7:25" ht="12.75">
      <c r="G242" s="50"/>
      <c r="H242" s="50"/>
      <c r="I242" s="64"/>
      <c r="J242" s="64"/>
      <c r="K242" s="64"/>
      <c r="L242" s="98"/>
      <c r="M242" s="50"/>
      <c r="N242" s="50"/>
      <c r="O242" s="23"/>
      <c r="P242" s="23"/>
      <c r="Q242" s="67"/>
      <c r="R242" s="67"/>
      <c r="S242" s="7"/>
      <c r="T242" s="7"/>
      <c r="U242" s="7"/>
      <c r="V242" s="7"/>
      <c r="W242" s="7"/>
      <c r="X242" s="7"/>
      <c r="Y242" s="7"/>
    </row>
    <row r="243" spans="7:25" ht="12.75">
      <c r="G243" s="50"/>
      <c r="H243" s="50"/>
      <c r="I243" s="64"/>
      <c r="J243" s="50"/>
      <c r="K243" s="64"/>
      <c r="L243" s="7"/>
      <c r="M243" s="50"/>
      <c r="N243" s="50"/>
      <c r="O243" s="23"/>
      <c r="P243" s="23"/>
      <c r="Q243" s="67"/>
      <c r="R243" s="67"/>
      <c r="S243" s="7"/>
      <c r="T243" s="7"/>
      <c r="U243" s="7"/>
      <c r="V243" s="7"/>
      <c r="W243" s="7"/>
      <c r="X243" s="7"/>
      <c r="Y243" s="7"/>
    </row>
    <row r="244" spans="7:25" ht="12.75">
      <c r="G244" s="99"/>
      <c r="H244" s="99"/>
      <c r="I244" s="64"/>
      <c r="J244" s="18"/>
      <c r="K244" s="64"/>
      <c r="L244" s="97"/>
      <c r="M244" s="50"/>
      <c r="N244" s="50"/>
      <c r="O244" s="23"/>
      <c r="P244" s="23"/>
      <c r="Q244" s="67"/>
      <c r="R244" s="67"/>
      <c r="S244" s="7"/>
      <c r="T244" s="7"/>
      <c r="U244" s="7"/>
      <c r="V244" s="7"/>
      <c r="W244" s="7"/>
      <c r="X244" s="7"/>
      <c r="Y244" s="7"/>
    </row>
    <row r="245" spans="7:25" ht="12.75">
      <c r="G245" s="50"/>
      <c r="H245" s="54"/>
      <c r="I245" s="64"/>
      <c r="J245" s="18"/>
      <c r="K245" s="64"/>
      <c r="L245" s="7"/>
      <c r="M245" s="50"/>
      <c r="N245" s="50"/>
      <c r="O245" s="23"/>
      <c r="P245" s="23"/>
      <c r="Q245" s="67"/>
      <c r="R245" s="67"/>
      <c r="S245" s="7"/>
      <c r="T245" s="7"/>
      <c r="U245" s="7"/>
      <c r="V245" s="7"/>
      <c r="W245" s="7"/>
      <c r="X245" s="7"/>
      <c r="Y245" s="7"/>
    </row>
    <row r="246" spans="7:25" ht="12.75">
      <c r="G246" s="50"/>
      <c r="H246" s="50"/>
      <c r="I246" s="64"/>
      <c r="J246" s="64"/>
      <c r="K246" s="64"/>
      <c r="L246" s="98"/>
      <c r="M246" s="50"/>
      <c r="N246" s="50"/>
      <c r="O246" s="23"/>
      <c r="P246" s="23"/>
      <c r="Q246" s="67"/>
      <c r="R246" s="67"/>
      <c r="S246" s="7"/>
      <c r="T246" s="7"/>
      <c r="U246" s="7"/>
      <c r="V246" s="7"/>
      <c r="W246" s="7"/>
      <c r="X246" s="7"/>
      <c r="Y246" s="7"/>
    </row>
    <row r="247" spans="7:25" ht="12.75">
      <c r="G247" s="50"/>
      <c r="H247" s="50"/>
      <c r="I247" s="64"/>
      <c r="J247" s="50"/>
      <c r="K247" s="64"/>
      <c r="L247" s="7"/>
      <c r="M247" s="50"/>
      <c r="N247" s="50"/>
      <c r="O247" s="23"/>
      <c r="P247" s="23"/>
      <c r="Q247" s="67"/>
      <c r="R247" s="67"/>
      <c r="S247" s="7"/>
      <c r="T247" s="7"/>
      <c r="U247" s="7"/>
      <c r="V247" s="7"/>
      <c r="W247" s="7"/>
      <c r="X247" s="7"/>
      <c r="Y247" s="7"/>
    </row>
    <row r="248" spans="7:25" ht="12.75">
      <c r="G248" s="99"/>
      <c r="H248" s="99"/>
      <c r="I248" s="64"/>
      <c r="J248" s="18"/>
      <c r="K248" s="64"/>
      <c r="L248" s="7"/>
      <c r="M248" s="50"/>
      <c r="N248" s="50"/>
      <c r="O248" s="23"/>
      <c r="P248" s="23"/>
      <c r="Q248" s="67"/>
      <c r="R248" s="67"/>
      <c r="S248" s="7"/>
      <c r="T248" s="7"/>
      <c r="U248" s="7"/>
      <c r="V248" s="7"/>
      <c r="W248" s="7"/>
      <c r="X248" s="7"/>
      <c r="Y248" s="7"/>
    </row>
    <row r="249" spans="7:25" ht="12.75">
      <c r="G249" s="50"/>
      <c r="H249" s="54"/>
      <c r="I249" s="64"/>
      <c r="J249" s="18"/>
      <c r="K249" s="64"/>
      <c r="L249" s="7"/>
      <c r="M249" s="50"/>
      <c r="N249" s="50"/>
      <c r="O249" s="23"/>
      <c r="P249" s="23"/>
      <c r="Q249" s="67"/>
      <c r="R249" s="67"/>
      <c r="S249" s="7"/>
      <c r="T249" s="7"/>
      <c r="U249" s="7"/>
      <c r="V249" s="7"/>
      <c r="W249" s="7"/>
      <c r="X249" s="7"/>
      <c r="Y249" s="7"/>
    </row>
    <row r="250" spans="7:25" ht="12.75">
      <c r="G250" s="50"/>
      <c r="H250" s="50"/>
      <c r="I250" s="64"/>
      <c r="J250" s="64"/>
      <c r="K250" s="64"/>
      <c r="L250" s="98"/>
      <c r="M250" s="50"/>
      <c r="N250" s="50"/>
      <c r="O250" s="62"/>
      <c r="P250" s="62"/>
      <c r="Q250" s="67"/>
      <c r="R250" s="67"/>
      <c r="S250" s="7"/>
      <c r="T250" s="7"/>
      <c r="U250" s="7"/>
      <c r="V250" s="7"/>
      <c r="W250" s="7"/>
      <c r="X250" s="7"/>
      <c r="Y250" s="7"/>
    </row>
    <row r="251" spans="7:25" ht="12.75">
      <c r="G251" s="50"/>
      <c r="H251" s="50"/>
      <c r="I251" s="64"/>
      <c r="J251" s="50"/>
      <c r="K251" s="64"/>
      <c r="L251" s="7"/>
      <c r="M251" s="50"/>
      <c r="N251" s="50"/>
      <c r="O251" s="23"/>
      <c r="P251" s="23"/>
      <c r="Q251" s="67"/>
      <c r="R251" s="67"/>
      <c r="S251" s="7"/>
      <c r="T251" s="7"/>
      <c r="U251" s="7"/>
      <c r="V251" s="7"/>
      <c r="W251" s="7"/>
      <c r="X251" s="7"/>
      <c r="Y251" s="7"/>
    </row>
    <row r="252" spans="7:25" ht="12.75">
      <c r="G252" s="99"/>
      <c r="H252" s="99"/>
      <c r="I252" s="64"/>
      <c r="J252" s="18"/>
      <c r="K252" s="64"/>
      <c r="L252" s="97"/>
      <c r="M252" s="50"/>
      <c r="N252" s="50"/>
      <c r="O252" s="23"/>
      <c r="P252" s="23"/>
      <c r="Q252" s="67"/>
      <c r="R252" s="67"/>
      <c r="S252" s="7"/>
      <c r="T252" s="7"/>
      <c r="U252" s="7"/>
      <c r="V252" s="7"/>
      <c r="W252" s="7"/>
      <c r="X252" s="7"/>
      <c r="Y252" s="7"/>
    </row>
    <row r="253" spans="7:25" ht="12.75">
      <c r="G253" s="50"/>
      <c r="H253" s="7"/>
      <c r="I253" s="7"/>
      <c r="J253" s="18"/>
      <c r="K253" s="64"/>
      <c r="L253" s="7"/>
      <c r="M253" s="50"/>
      <c r="N253" s="50"/>
      <c r="O253" s="23"/>
      <c r="P253" s="23"/>
      <c r="Q253" s="67"/>
      <c r="R253" s="67"/>
      <c r="S253" s="7"/>
      <c r="T253" s="7"/>
      <c r="U253" s="7"/>
      <c r="V253" s="7"/>
      <c r="W253" s="7"/>
      <c r="X253" s="7"/>
      <c r="Y253" s="7"/>
    </row>
  </sheetData>
  <sheetProtection password="DC2C" sheet="1" objects="1" scenarios="1"/>
  <mergeCells count="84">
    <mergeCell ref="D15:E15"/>
    <mergeCell ref="M6:N6"/>
    <mergeCell ref="O6:Q6"/>
    <mergeCell ref="O7:Q7"/>
    <mergeCell ref="C58:K58"/>
    <mergeCell ref="C56:K57"/>
    <mergeCell ref="J43:M43"/>
    <mergeCell ref="O55:T55"/>
    <mergeCell ref="Q53:T53"/>
    <mergeCell ref="S52:T52"/>
    <mergeCell ref="B53:C53"/>
    <mergeCell ref="L53:N53"/>
    <mergeCell ref="I53:K53"/>
    <mergeCell ref="D53:E53"/>
    <mergeCell ref="F53:G53"/>
    <mergeCell ref="Q44:R44"/>
    <mergeCell ref="Q45:R45"/>
    <mergeCell ref="O45:P45"/>
    <mergeCell ref="O50:P50"/>
    <mergeCell ref="B6:C6"/>
    <mergeCell ref="S41:T41"/>
    <mergeCell ref="D6:H6"/>
    <mergeCell ref="O10:Q10"/>
    <mergeCell ref="S40:T40"/>
    <mergeCell ref="S39:T39"/>
    <mergeCell ref="S34:T34"/>
    <mergeCell ref="S33:T33"/>
    <mergeCell ref="S32:T32"/>
    <mergeCell ref="S18:T18"/>
    <mergeCell ref="S21:T21"/>
    <mergeCell ref="S20:T20"/>
    <mergeCell ref="B9:C9"/>
    <mergeCell ref="H5:I5"/>
    <mergeCell ref="B8:C8"/>
    <mergeCell ref="B13:C13"/>
    <mergeCell ref="B10:C10"/>
    <mergeCell ref="O8:Q8"/>
    <mergeCell ref="O9:Q9"/>
    <mergeCell ref="S17:T17"/>
    <mergeCell ref="B54:C54"/>
    <mergeCell ref="F54:G54"/>
    <mergeCell ref="D54:E54"/>
    <mergeCell ref="S31:T31"/>
    <mergeCell ref="J5:N5"/>
    <mergeCell ref="J15:K15"/>
    <mergeCell ref="G15:H15"/>
    <mergeCell ref="J6:L6"/>
    <mergeCell ref="S25:T25"/>
    <mergeCell ref="S24:T24"/>
    <mergeCell ref="S38:T38"/>
    <mergeCell ref="S37:T37"/>
    <mergeCell ref="S36:T36"/>
    <mergeCell ref="S35:T35"/>
    <mergeCell ref="J54:K54"/>
    <mergeCell ref="M54:N54"/>
    <mergeCell ref="S43:T43"/>
    <mergeCell ref="Q43:R43"/>
    <mergeCell ref="BH3:BI4"/>
    <mergeCell ref="BH5:BI5"/>
    <mergeCell ref="B3:S3"/>
    <mergeCell ref="BC3:BD4"/>
    <mergeCell ref="BF3:BG4"/>
    <mergeCell ref="O5:T5"/>
    <mergeCell ref="D5:E5"/>
    <mergeCell ref="B11:C11"/>
    <mergeCell ref="B12:C12"/>
    <mergeCell ref="S30:T30"/>
    <mergeCell ref="S29:T29"/>
    <mergeCell ref="S28:T28"/>
    <mergeCell ref="S26:T26"/>
    <mergeCell ref="S27:T27"/>
    <mergeCell ref="S23:T23"/>
    <mergeCell ref="S22:T22"/>
    <mergeCell ref="S19:T19"/>
    <mergeCell ref="Q49:R49"/>
    <mergeCell ref="Q50:R50"/>
    <mergeCell ref="B14:C14"/>
    <mergeCell ref="B74:C74"/>
    <mergeCell ref="I60:J60"/>
    <mergeCell ref="Q56:S56"/>
    <mergeCell ref="Q57:S57"/>
    <mergeCell ref="S54:T54"/>
    <mergeCell ref="M56:N56"/>
    <mergeCell ref="M57:N57"/>
  </mergeCells>
  <conditionalFormatting sqref="A23">
    <cfRule type="cellIs" priority="1" dxfId="0" operator="greaterThan" stopIfTrue="1">
      <formula>+A19+R12-1</formula>
    </cfRule>
  </conditionalFormatting>
  <conditionalFormatting sqref="A27">
    <cfRule type="cellIs" priority="2" dxfId="0" operator="greaterThan" stopIfTrue="1">
      <formula>+A19+R12-1</formula>
    </cfRule>
  </conditionalFormatting>
  <conditionalFormatting sqref="A31">
    <cfRule type="cellIs" priority="3" dxfId="0" operator="greaterThan" stopIfTrue="1">
      <formula>+A19+R12-1</formula>
    </cfRule>
  </conditionalFormatting>
  <conditionalFormatting sqref="A35">
    <cfRule type="cellIs" priority="4" dxfId="0" operator="greaterThan" stopIfTrue="1">
      <formula>+A19+R12-1</formula>
    </cfRule>
  </conditionalFormatting>
  <conditionalFormatting sqref="A39">
    <cfRule type="cellIs" priority="5" dxfId="0" operator="greaterThan" stopIfTrue="1">
      <formula>+A19+R12-1</formula>
    </cfRule>
  </conditionalFormatting>
  <conditionalFormatting sqref="S6">
    <cfRule type="expression" priority="6" dxfId="6" stopIfTrue="1">
      <formula>$V$20</formula>
    </cfRule>
  </conditionalFormatting>
  <conditionalFormatting sqref="D10:L11">
    <cfRule type="cellIs" priority="7" dxfId="0" operator="equal" stopIfTrue="1">
      <formula>+$Y$5</formula>
    </cfRule>
  </conditionalFormatting>
  <conditionalFormatting sqref="Q2:R2">
    <cfRule type="cellIs" priority="8" dxfId="10" operator="greaterThan" stopIfTrue="1">
      <formula>2</formula>
    </cfRule>
  </conditionalFormatting>
  <conditionalFormatting sqref="J19:J42 J44:J47 J49:J52">
    <cfRule type="cellIs" priority="9" dxfId="7" operator="greaterThan" stopIfTrue="1">
      <formula>2</formula>
    </cfRule>
    <cfRule type="cellIs" priority="10" dxfId="0" operator="equal" stopIfTrue="1">
      <formula>0</formula>
    </cfRule>
  </conditionalFormatting>
  <dataValidations count="5">
    <dataValidation type="list" allowBlank="1" showInputMessage="1" showErrorMessage="1" sqref="N12">
      <formula1>AD85:AD86</formula1>
    </dataValidation>
    <dataValidation type="list" allowBlank="1" showInputMessage="1" showErrorMessage="1" sqref="N10">
      <formula1>$AL$118:$AL$129</formula1>
    </dataValidation>
    <dataValidation type="list" allowBlank="1" showInputMessage="1" showErrorMessage="1" sqref="C5">
      <formula1>$AL$114:$AL$116</formula1>
    </dataValidation>
    <dataValidation type="list" allowBlank="1" showInputMessage="1" showErrorMessage="1" sqref="L69">
      <formula1>$W$65:$W$66</formula1>
    </dataValidation>
    <dataValidation type="list" allowBlank="1" showInputMessage="1" showErrorMessage="1" sqref="N44:N45 N49:N50">
      <formula1>$AX$162:$AX$164</formula1>
    </dataValidation>
  </dataValidations>
  <printOptions horizontalCentered="1" verticalCentered="1"/>
  <pageMargins left="0.2" right="0.16" top="0.3" bottom="0.17" header="0" footer="0.17"/>
  <pageSetup fitToHeight="1" fitToWidth="1" horizontalDpi="300" verticalDpi="300" orientation="landscape" scale="74" r:id="rId3"/>
  <rowBreaks count="1" manualBreakCount="1">
    <brk id="58" max="255" man="1"/>
  </rowBreaks>
  <legacyDrawing r:id="rId2"/>
</worksheet>
</file>

<file path=xl/worksheets/sheet2.xml><?xml version="1.0" encoding="utf-8"?>
<worksheet xmlns="http://schemas.openxmlformats.org/spreadsheetml/2006/main" xmlns:r="http://schemas.openxmlformats.org/officeDocument/2006/relationships">
  <sheetPr codeName="Sheet5"/>
  <dimension ref="A1:AR53"/>
  <sheetViews>
    <sheetView zoomScalePageLayoutView="0" workbookViewId="0" topLeftCell="A1">
      <selection activeCell="A1" sqref="A1"/>
    </sheetView>
  </sheetViews>
  <sheetFormatPr defaultColWidth="9.140625" defaultRowHeight="12.75"/>
  <sheetData>
    <row r="1" spans="1:44" ht="23.25">
      <c r="A1" s="2"/>
      <c r="B1" s="5"/>
      <c r="C1" s="3"/>
      <c r="D1" s="4"/>
      <c r="E1" s="5"/>
      <c r="F1" s="5"/>
      <c r="G1" s="5"/>
      <c r="H1" s="5"/>
      <c r="I1" s="5"/>
      <c r="J1" s="5"/>
      <c r="K1" s="5"/>
      <c r="L1" s="5"/>
      <c r="M1" s="6"/>
      <c r="AA1" s="2"/>
      <c r="AB1" s="3"/>
      <c r="AC1" s="4"/>
      <c r="AD1" s="5"/>
      <c r="AE1" s="5"/>
      <c r="AF1" s="5"/>
      <c r="AG1" s="5"/>
      <c r="AH1" s="5"/>
      <c r="AI1" s="5"/>
      <c r="AJ1" s="5"/>
      <c r="AK1" s="5"/>
      <c r="AL1" s="5"/>
      <c r="AM1" s="5"/>
      <c r="AN1" s="5"/>
      <c r="AO1" s="5"/>
      <c r="AP1" s="5"/>
      <c r="AQ1" s="291"/>
      <c r="AR1" s="6"/>
    </row>
    <row r="2" spans="1:44" ht="15">
      <c r="A2" s="14"/>
      <c r="B2" s="813"/>
      <c r="C2" s="813"/>
      <c r="D2" s="813"/>
      <c r="E2" s="813"/>
      <c r="F2" s="813"/>
      <c r="G2" s="813"/>
      <c r="H2" s="813"/>
      <c r="I2" s="813"/>
      <c r="J2" s="813"/>
      <c r="K2" s="813"/>
      <c r="L2" s="813"/>
      <c r="M2" s="17"/>
      <c r="AA2" s="14"/>
      <c r="AB2" s="15"/>
      <c r="AC2" s="15"/>
      <c r="AD2" s="15"/>
      <c r="AE2" s="15"/>
      <c r="AF2" s="15"/>
      <c r="AG2" s="15"/>
      <c r="AH2" s="15"/>
      <c r="AI2" s="15"/>
      <c r="AJ2" s="268"/>
      <c r="AK2" s="15"/>
      <c r="AL2" s="15"/>
      <c r="AM2" s="15"/>
      <c r="AN2" s="15"/>
      <c r="AO2" s="15"/>
      <c r="AP2" s="15"/>
      <c r="AQ2" s="15"/>
      <c r="AR2" s="17"/>
    </row>
    <row r="3" spans="1:44" ht="26.25">
      <c r="A3" s="14"/>
      <c r="B3" s="124"/>
      <c r="C3" s="9"/>
      <c r="D3" s="9"/>
      <c r="E3" s="9"/>
      <c r="F3" s="9"/>
      <c r="G3" s="9"/>
      <c r="H3" s="9"/>
      <c r="I3" s="9"/>
      <c r="J3" s="9"/>
      <c r="K3" s="10"/>
      <c r="L3" s="9"/>
      <c r="M3" s="17"/>
      <c r="AA3" s="14"/>
      <c r="AB3" s="846"/>
      <c r="AC3" s="846"/>
      <c r="AD3" s="846"/>
      <c r="AE3" s="846"/>
      <c r="AF3" s="846"/>
      <c r="AG3" s="846"/>
      <c r="AH3" s="846"/>
      <c r="AI3" s="846"/>
      <c r="AJ3" s="846"/>
      <c r="AK3" s="846"/>
      <c r="AL3" s="846"/>
      <c r="AM3" s="846"/>
      <c r="AN3" s="846"/>
      <c r="AO3" s="846"/>
      <c r="AP3" s="846"/>
      <c r="AQ3" s="10"/>
      <c r="AR3" s="17"/>
    </row>
    <row r="4" spans="1:44" ht="18">
      <c r="A4" s="14"/>
      <c r="B4" s="15"/>
      <c r="C4" s="15"/>
      <c r="D4" s="15"/>
      <c r="E4" s="15"/>
      <c r="F4" s="15"/>
      <c r="G4" s="16"/>
      <c r="H4" s="15"/>
      <c r="I4" s="15"/>
      <c r="J4" s="15"/>
      <c r="K4" s="15"/>
      <c r="L4" s="15"/>
      <c r="M4" s="128"/>
      <c r="AA4" s="14"/>
      <c r="AB4" s="15"/>
      <c r="AC4" s="15"/>
      <c r="AD4" s="15"/>
      <c r="AE4" s="15"/>
      <c r="AF4" s="15"/>
      <c r="AG4" s="15"/>
      <c r="AH4" s="15"/>
      <c r="AI4" s="15"/>
      <c r="AJ4" s="15"/>
      <c r="AK4" s="15"/>
      <c r="AL4" s="15"/>
      <c r="AM4" s="15"/>
      <c r="AN4" s="24"/>
      <c r="AO4" s="15"/>
      <c r="AP4" s="15"/>
      <c r="AQ4" s="15"/>
      <c r="AR4" s="17"/>
    </row>
    <row r="5" spans="1:44" ht="18">
      <c r="A5" s="14"/>
      <c r="B5" s="15"/>
      <c r="C5" s="21"/>
      <c r="D5" s="814"/>
      <c r="E5" s="814"/>
      <c r="F5" s="20"/>
      <c r="G5" s="21"/>
      <c r="H5" s="22"/>
      <c r="I5" s="815"/>
      <c r="J5" s="815"/>
      <c r="K5" s="815"/>
      <c r="L5" s="15"/>
      <c r="M5" s="17"/>
      <c r="AA5" s="14"/>
      <c r="AB5" s="20"/>
      <c r="AC5" s="19"/>
      <c r="AD5" s="814"/>
      <c r="AE5" s="814"/>
      <c r="AF5" s="20"/>
      <c r="AG5" s="21"/>
      <c r="AH5" s="847"/>
      <c r="AI5" s="847"/>
      <c r="AJ5" s="848"/>
      <c r="AK5" s="848"/>
      <c r="AL5" s="848"/>
      <c r="AM5" s="848"/>
      <c r="AN5" s="848"/>
      <c r="AO5" s="848"/>
      <c r="AP5" s="15"/>
      <c r="AQ5" s="316"/>
      <c r="AR5" s="41"/>
    </row>
    <row r="6" spans="1:44" ht="12.75">
      <c r="A6" s="14"/>
      <c r="B6" s="816"/>
      <c r="C6" s="816"/>
      <c r="D6" s="817"/>
      <c r="E6" s="817"/>
      <c r="F6" s="25"/>
      <c r="G6" s="321"/>
      <c r="H6" s="25"/>
      <c r="I6" s="321"/>
      <c r="J6" s="26"/>
      <c r="K6" s="27"/>
      <c r="L6" s="15"/>
      <c r="M6" s="17"/>
      <c r="AA6" s="14"/>
      <c r="AB6" s="849"/>
      <c r="AC6" s="849"/>
      <c r="AD6" s="850"/>
      <c r="AE6" s="850"/>
      <c r="AF6" s="850"/>
      <c r="AG6" s="850"/>
      <c r="AH6" s="850"/>
      <c r="AI6" s="15"/>
      <c r="AJ6" s="28"/>
      <c r="AK6" s="28"/>
      <c r="AL6" s="32"/>
      <c r="AM6" s="15"/>
      <c r="AN6" s="33"/>
      <c r="AO6" s="32"/>
      <c r="AP6" s="32"/>
      <c r="AQ6" s="33"/>
      <c r="AR6" s="41"/>
    </row>
    <row r="7" spans="1:44" ht="12.75">
      <c r="A7" s="14"/>
      <c r="B7" s="24"/>
      <c r="C7" s="24"/>
      <c r="D7" s="246"/>
      <c r="E7" s="246"/>
      <c r="F7" s="25"/>
      <c r="G7" s="247"/>
      <c r="H7" s="317"/>
      <c r="I7" s="247"/>
      <c r="J7" s="26"/>
      <c r="K7" s="248"/>
      <c r="L7" s="15"/>
      <c r="M7" s="17"/>
      <c r="AA7" s="14"/>
      <c r="AB7" s="15"/>
      <c r="AC7" s="15"/>
      <c r="AD7" s="15"/>
      <c r="AE7" s="15"/>
      <c r="AF7" s="15"/>
      <c r="AG7" s="32"/>
      <c r="AH7" s="32"/>
      <c r="AI7" s="32"/>
      <c r="AJ7" s="32"/>
      <c r="AK7" s="32"/>
      <c r="AL7" s="32"/>
      <c r="AM7" s="35"/>
      <c r="AN7" s="320"/>
      <c r="AO7" s="30"/>
      <c r="AP7" s="32"/>
      <c r="AQ7" s="28"/>
      <c r="AR7" s="17"/>
    </row>
    <row r="8" spans="1:44" ht="12.75">
      <c r="A8" s="14"/>
      <c r="B8" s="15"/>
      <c r="C8" s="249"/>
      <c r="D8" s="15"/>
      <c r="E8" s="39"/>
      <c r="F8" s="32"/>
      <c r="G8" s="15"/>
      <c r="H8" s="33"/>
      <c r="I8" s="15"/>
      <c r="J8" s="15"/>
      <c r="K8" s="15"/>
      <c r="L8" s="15"/>
      <c r="M8" s="129"/>
      <c r="AA8" s="45"/>
      <c r="AB8" s="818"/>
      <c r="AC8" s="819"/>
      <c r="AD8" s="48"/>
      <c r="AE8" s="48"/>
      <c r="AF8" s="48"/>
      <c r="AG8" s="48"/>
      <c r="AH8" s="48"/>
      <c r="AI8" s="48"/>
      <c r="AJ8" s="49"/>
      <c r="AK8" s="49"/>
      <c r="AL8" s="49"/>
      <c r="AM8" s="35"/>
      <c r="AN8" s="320"/>
      <c r="AO8" s="32"/>
      <c r="AP8" s="32"/>
      <c r="AQ8" s="39"/>
      <c r="AR8" s="46"/>
    </row>
    <row r="9" spans="1:44" ht="12.75">
      <c r="A9" s="14"/>
      <c r="B9" s="15"/>
      <c r="C9" s="29"/>
      <c r="D9" s="30"/>
      <c r="E9" s="31"/>
      <c r="F9" s="32"/>
      <c r="G9" s="32"/>
      <c r="H9" s="33"/>
      <c r="I9" s="24"/>
      <c r="J9" s="24"/>
      <c r="K9" s="34"/>
      <c r="L9" s="15"/>
      <c r="M9" s="17"/>
      <c r="AA9" s="14"/>
      <c r="AB9" s="820"/>
      <c r="AC9" s="821"/>
      <c r="AD9" s="48"/>
      <c r="AE9" s="48"/>
      <c r="AF9" s="48"/>
      <c r="AG9" s="48"/>
      <c r="AH9" s="48"/>
      <c r="AI9" s="48"/>
      <c r="AJ9" s="48"/>
      <c r="AK9" s="49"/>
      <c r="AL9" s="49"/>
      <c r="AM9" s="24"/>
      <c r="AN9" s="36"/>
      <c r="AO9" s="772"/>
      <c r="AP9" s="772"/>
      <c r="AQ9" s="39"/>
      <c r="AR9" s="51"/>
    </row>
    <row r="10" spans="1:44" ht="12.75">
      <c r="A10" s="14"/>
      <c r="B10" s="15"/>
      <c r="C10" s="32"/>
      <c r="D10" s="32"/>
      <c r="E10" s="28"/>
      <c r="F10" s="30"/>
      <c r="G10" s="32"/>
      <c r="H10" s="28"/>
      <c r="I10" s="35"/>
      <c r="J10" s="24"/>
      <c r="K10" s="36"/>
      <c r="L10" s="15"/>
      <c r="M10" s="41"/>
      <c r="AA10" s="14"/>
      <c r="AB10" s="818"/>
      <c r="AC10" s="819"/>
      <c r="AD10" s="52"/>
      <c r="AE10" s="52"/>
      <c r="AF10" s="52"/>
      <c r="AG10" s="52"/>
      <c r="AH10" s="52"/>
      <c r="AI10" s="52"/>
      <c r="AJ10" s="52"/>
      <c r="AK10" s="52"/>
      <c r="AL10" s="52"/>
      <c r="AM10" s="24"/>
      <c r="AN10" s="40"/>
      <c r="AO10" s="816"/>
      <c r="AP10" s="816"/>
      <c r="AQ10" s="31"/>
      <c r="AR10" s="51"/>
    </row>
    <row r="11" spans="1:44" ht="12.75">
      <c r="A11" s="14"/>
      <c r="B11" s="15"/>
      <c r="C11" s="32"/>
      <c r="D11" s="15"/>
      <c r="E11" s="28"/>
      <c r="F11" s="32"/>
      <c r="G11" s="32"/>
      <c r="H11" s="39"/>
      <c r="I11" s="15"/>
      <c r="J11" s="24"/>
      <c r="K11" s="40"/>
      <c r="L11" s="32"/>
      <c r="M11" s="41"/>
      <c r="AA11" s="14"/>
      <c r="AB11" s="758"/>
      <c r="AC11" s="759"/>
      <c r="AD11" s="250"/>
      <c r="AE11" s="250"/>
      <c r="AF11" s="250"/>
      <c r="AG11" s="250"/>
      <c r="AH11" s="250"/>
      <c r="AI11" s="250"/>
      <c r="AJ11" s="250"/>
      <c r="AK11" s="250"/>
      <c r="AL11" s="250"/>
      <c r="AM11" s="24"/>
      <c r="AN11" s="34"/>
      <c r="AO11" s="816"/>
      <c r="AP11" s="816"/>
      <c r="AQ11" s="28"/>
      <c r="AR11" s="17"/>
    </row>
    <row r="12" spans="1:44" ht="12.75">
      <c r="A12" s="14"/>
      <c r="B12" s="32"/>
      <c r="C12" s="32"/>
      <c r="D12" s="32"/>
      <c r="E12" s="32"/>
      <c r="F12" s="32"/>
      <c r="G12" s="322"/>
      <c r="H12" s="42"/>
      <c r="I12" s="43"/>
      <c r="J12" s="32"/>
      <c r="K12" s="32"/>
      <c r="L12" s="32"/>
      <c r="M12" s="17"/>
      <c r="AA12" s="14"/>
      <c r="AB12" s="820"/>
      <c r="AC12" s="821"/>
      <c r="AD12" s="53"/>
      <c r="AE12" s="53"/>
      <c r="AF12" s="53"/>
      <c r="AG12" s="53"/>
      <c r="AH12" s="53"/>
      <c r="AI12" s="53"/>
      <c r="AJ12" s="53"/>
      <c r="AK12" s="53"/>
      <c r="AL12" s="53"/>
      <c r="AM12" s="35"/>
      <c r="AN12" s="40"/>
      <c r="AO12" s="816"/>
      <c r="AP12" s="816"/>
      <c r="AQ12" s="28"/>
      <c r="AR12" s="17"/>
    </row>
    <row r="13" spans="1:44" ht="12.75">
      <c r="A13" s="45"/>
      <c r="B13" s="818"/>
      <c r="C13" s="819"/>
      <c r="D13" s="48"/>
      <c r="E13" s="48"/>
      <c r="F13" s="48"/>
      <c r="G13" s="48"/>
      <c r="H13" s="48"/>
      <c r="I13" s="48"/>
      <c r="J13" s="49"/>
      <c r="K13" s="49"/>
      <c r="L13" s="49"/>
      <c r="M13" s="46"/>
      <c r="AA13" s="14"/>
      <c r="AB13" s="15"/>
      <c r="AC13" s="15"/>
      <c r="AD13" s="15"/>
      <c r="AE13" s="15"/>
      <c r="AF13" s="15"/>
      <c r="AG13" s="15"/>
      <c r="AH13" s="15"/>
      <c r="AI13" s="15"/>
      <c r="AJ13" s="15"/>
      <c r="AK13" s="15"/>
      <c r="AL13" s="15"/>
      <c r="AM13" s="15"/>
      <c r="AN13" s="15"/>
      <c r="AO13" s="15"/>
      <c r="AP13" s="322"/>
      <c r="AQ13" s="323"/>
      <c r="AR13" s="17"/>
    </row>
    <row r="14" spans="1:44" ht="12.75">
      <c r="A14" s="14"/>
      <c r="B14" s="820"/>
      <c r="C14" s="821"/>
      <c r="D14" s="48"/>
      <c r="E14" s="48"/>
      <c r="F14" s="48"/>
      <c r="G14" s="48"/>
      <c r="H14" s="48"/>
      <c r="I14" s="48"/>
      <c r="J14" s="48"/>
      <c r="K14" s="49"/>
      <c r="L14" s="49"/>
      <c r="M14" s="51"/>
      <c r="AA14" s="14"/>
      <c r="AB14" s="15"/>
      <c r="AC14" s="24"/>
      <c r="AD14" s="15"/>
      <c r="AE14" s="24"/>
      <c r="AF14" s="24"/>
      <c r="AG14" s="24"/>
      <c r="AH14" s="15"/>
      <c r="AI14" s="24"/>
      <c r="AJ14" s="24"/>
      <c r="AK14" s="15"/>
      <c r="AL14" s="24"/>
      <c r="AM14" s="24"/>
      <c r="AN14" s="24"/>
      <c r="AO14" s="24"/>
      <c r="AP14" s="24"/>
      <c r="AQ14" s="816"/>
      <c r="AR14" s="851"/>
    </row>
    <row r="15" spans="1:44" ht="13.5" thickBot="1">
      <c r="A15" s="14"/>
      <c r="B15" s="822"/>
      <c r="C15" s="823"/>
      <c r="D15" s="52"/>
      <c r="E15" s="52"/>
      <c r="F15" s="52"/>
      <c r="G15" s="52"/>
      <c r="H15" s="52"/>
      <c r="I15" s="52"/>
      <c r="J15" s="52"/>
      <c r="K15" s="52"/>
      <c r="L15" s="52"/>
      <c r="M15" s="51"/>
      <c r="AA15" s="292"/>
      <c r="AB15" s="55"/>
      <c r="AC15" s="55"/>
      <c r="AD15" s="55"/>
      <c r="AE15" s="55"/>
      <c r="AF15" s="55"/>
      <c r="AG15" s="55"/>
      <c r="AH15" s="55"/>
      <c r="AI15" s="55"/>
      <c r="AJ15" s="56"/>
      <c r="AK15" s="56"/>
      <c r="AL15" s="55"/>
      <c r="AM15" s="55"/>
      <c r="AN15" s="55"/>
      <c r="AO15" s="57"/>
      <c r="AP15" s="55"/>
      <c r="AQ15" s="826"/>
      <c r="AR15" s="852"/>
    </row>
    <row r="16" spans="1:44" ht="13.5" thickTop="1">
      <c r="A16" s="14"/>
      <c r="B16" s="758"/>
      <c r="C16" s="759"/>
      <c r="D16" s="250"/>
      <c r="E16" s="250"/>
      <c r="F16" s="250"/>
      <c r="G16" s="250"/>
      <c r="H16" s="250"/>
      <c r="I16" s="250"/>
      <c r="J16" s="250"/>
      <c r="K16" s="250"/>
      <c r="L16" s="250"/>
      <c r="M16" s="17"/>
      <c r="AA16" s="293"/>
      <c r="AB16" s="28"/>
      <c r="AC16" s="279"/>
      <c r="AD16" s="68"/>
      <c r="AE16" s="68"/>
      <c r="AF16" s="68"/>
      <c r="AG16" s="280"/>
      <c r="AH16" s="68"/>
      <c r="AI16" s="68"/>
      <c r="AJ16" s="280"/>
      <c r="AK16" s="281"/>
      <c r="AL16" s="59"/>
      <c r="AM16" s="60"/>
      <c r="AN16" s="39"/>
      <c r="AO16" s="31"/>
      <c r="AP16" s="61"/>
      <c r="AQ16" s="827"/>
      <c r="AR16" s="853"/>
    </row>
    <row r="17" spans="1:44" ht="12.75">
      <c r="A17" s="14"/>
      <c r="B17" s="824"/>
      <c r="C17" s="825"/>
      <c r="D17" s="53"/>
      <c r="E17" s="53"/>
      <c r="F17" s="53"/>
      <c r="G17" s="53"/>
      <c r="H17" s="53"/>
      <c r="I17" s="53"/>
      <c r="J17" s="53"/>
      <c r="K17" s="53"/>
      <c r="L17" s="53"/>
      <c r="M17" s="17"/>
      <c r="AA17" s="66"/>
      <c r="AB17" s="28"/>
      <c r="AC17" s="279"/>
      <c r="AD17" s="68"/>
      <c r="AE17" s="68"/>
      <c r="AF17" s="68"/>
      <c r="AG17" s="280"/>
      <c r="AH17" s="68"/>
      <c r="AI17" s="68"/>
      <c r="AJ17" s="280"/>
      <c r="AK17" s="281"/>
      <c r="AL17" s="59"/>
      <c r="AM17" s="28"/>
      <c r="AN17" s="39"/>
      <c r="AO17" s="31"/>
      <c r="AP17" s="61"/>
      <c r="AQ17" s="827"/>
      <c r="AR17" s="853"/>
    </row>
    <row r="18" spans="1:44" ht="12.75">
      <c r="A18" s="14"/>
      <c r="B18" s="15"/>
      <c r="C18" s="15"/>
      <c r="D18" s="15"/>
      <c r="E18" s="15"/>
      <c r="F18" s="15"/>
      <c r="G18" s="15"/>
      <c r="H18" s="15"/>
      <c r="I18" s="15"/>
      <c r="J18" s="15"/>
      <c r="K18" s="15"/>
      <c r="L18" s="15"/>
      <c r="M18" s="17"/>
      <c r="AA18" s="294"/>
      <c r="AB18" s="68"/>
      <c r="AC18" s="279"/>
      <c r="AD18" s="68"/>
      <c r="AE18" s="68"/>
      <c r="AF18" s="68"/>
      <c r="AG18" s="280"/>
      <c r="AH18" s="68"/>
      <c r="AI18" s="68"/>
      <c r="AJ18" s="280"/>
      <c r="AK18" s="281"/>
      <c r="AL18" s="301"/>
      <c r="AM18" s="28"/>
      <c r="AN18" s="39"/>
      <c r="AO18" s="31"/>
      <c r="AP18" s="61"/>
      <c r="AQ18" s="827"/>
      <c r="AR18" s="853"/>
    </row>
    <row r="19" spans="1:44" ht="13.5" thickBot="1">
      <c r="A19" s="14"/>
      <c r="B19" s="15"/>
      <c r="C19" s="15"/>
      <c r="D19" s="15"/>
      <c r="E19" s="24"/>
      <c r="F19" s="24"/>
      <c r="G19" s="24"/>
      <c r="H19" s="24"/>
      <c r="I19" s="24"/>
      <c r="J19" s="24"/>
      <c r="K19" s="816"/>
      <c r="L19" s="816"/>
      <c r="M19" s="123"/>
      <c r="AA19" s="295"/>
      <c r="AB19" s="285"/>
      <c r="AC19" s="119"/>
      <c r="AD19" s="118"/>
      <c r="AE19" s="282"/>
      <c r="AF19" s="282"/>
      <c r="AG19" s="282"/>
      <c r="AH19" s="282"/>
      <c r="AI19" s="282"/>
      <c r="AJ19" s="282"/>
      <c r="AK19" s="283"/>
      <c r="AL19" s="286"/>
      <c r="AM19" s="56"/>
      <c r="AN19" s="288"/>
      <c r="AO19" s="289"/>
      <c r="AP19" s="290"/>
      <c r="AQ19" s="828"/>
      <c r="AR19" s="854"/>
    </row>
    <row r="20" spans="1:44" ht="14.25" thickBot="1" thickTop="1">
      <c r="A20" s="297"/>
      <c r="B20" s="55"/>
      <c r="C20" s="55"/>
      <c r="D20" s="56"/>
      <c r="E20" s="55"/>
      <c r="F20" s="55"/>
      <c r="G20" s="55"/>
      <c r="H20" s="55"/>
      <c r="I20" s="57"/>
      <c r="J20" s="55"/>
      <c r="K20" s="826"/>
      <c r="L20" s="826"/>
      <c r="M20" s="312"/>
      <c r="AA20" s="66"/>
      <c r="AB20" s="28"/>
      <c r="AC20" s="279"/>
      <c r="AD20" s="68"/>
      <c r="AE20" s="68"/>
      <c r="AF20" s="68"/>
      <c r="AG20" s="280"/>
      <c r="AH20" s="68"/>
      <c r="AI20" s="68"/>
      <c r="AJ20" s="280"/>
      <c r="AK20" s="281"/>
      <c r="AL20" s="59"/>
      <c r="AM20" s="60"/>
      <c r="AN20" s="39"/>
      <c r="AO20" s="31"/>
      <c r="AP20" s="61"/>
      <c r="AQ20" s="827"/>
      <c r="AR20" s="853"/>
    </row>
    <row r="21" spans="1:44" ht="13.5" thickTop="1">
      <c r="A21" s="14"/>
      <c r="B21" s="33"/>
      <c r="C21" s="28"/>
      <c r="D21" s="34"/>
      <c r="E21" s="59"/>
      <c r="F21" s="59"/>
      <c r="G21" s="60"/>
      <c r="H21" s="39"/>
      <c r="I21" s="31"/>
      <c r="J21" s="61"/>
      <c r="K21" s="827"/>
      <c r="L21" s="827"/>
      <c r="M21" s="130"/>
      <c r="AA21" s="66"/>
      <c r="AB21" s="28"/>
      <c r="AC21" s="279"/>
      <c r="AD21" s="68"/>
      <c r="AE21" s="68"/>
      <c r="AF21" s="68"/>
      <c r="AG21" s="280"/>
      <c r="AH21" s="68"/>
      <c r="AI21" s="68"/>
      <c r="AJ21" s="280"/>
      <c r="AK21" s="281"/>
      <c r="AL21" s="59"/>
      <c r="AM21" s="15"/>
      <c r="AN21" s="39"/>
      <c r="AO21" s="31"/>
      <c r="AP21" s="61"/>
      <c r="AQ21" s="827"/>
      <c r="AR21" s="853"/>
    </row>
    <row r="22" spans="1:44" ht="12.75">
      <c r="A22" s="66"/>
      <c r="B22" s="28"/>
      <c r="C22" s="28"/>
      <c r="D22" s="34"/>
      <c r="E22" s="59"/>
      <c r="F22" s="59"/>
      <c r="G22" s="28"/>
      <c r="H22" s="39"/>
      <c r="I22" s="31"/>
      <c r="J22" s="61"/>
      <c r="K22" s="827"/>
      <c r="L22" s="827"/>
      <c r="M22" s="131"/>
      <c r="AA22" s="296"/>
      <c r="AB22" s="68"/>
      <c r="AC22" s="279"/>
      <c r="AD22" s="68"/>
      <c r="AE22" s="68"/>
      <c r="AF22" s="68"/>
      <c r="AG22" s="280"/>
      <c r="AH22" s="68"/>
      <c r="AI22" s="68"/>
      <c r="AJ22" s="280"/>
      <c r="AK22" s="281"/>
      <c r="AL22" s="301"/>
      <c r="AM22" s="61"/>
      <c r="AN22" s="39"/>
      <c r="AO22" s="31"/>
      <c r="AP22" s="61"/>
      <c r="AQ22" s="827"/>
      <c r="AR22" s="853"/>
    </row>
    <row r="23" spans="1:44" ht="13.5" thickBot="1">
      <c r="A23" s="66"/>
      <c r="B23" s="24"/>
      <c r="C23" s="68"/>
      <c r="D23" s="34"/>
      <c r="E23" s="69"/>
      <c r="F23" s="59"/>
      <c r="G23" s="28"/>
      <c r="H23" s="39"/>
      <c r="I23" s="31"/>
      <c r="J23" s="61"/>
      <c r="K23" s="827"/>
      <c r="L23" s="827"/>
      <c r="M23" s="131"/>
      <c r="AA23" s="295"/>
      <c r="AB23" s="285"/>
      <c r="AC23" s="119"/>
      <c r="AD23" s="118"/>
      <c r="AE23" s="282"/>
      <c r="AF23" s="282"/>
      <c r="AG23" s="282"/>
      <c r="AH23" s="282"/>
      <c r="AI23" s="282"/>
      <c r="AJ23" s="282"/>
      <c r="AK23" s="283"/>
      <c r="AL23" s="286"/>
      <c r="AM23" s="56"/>
      <c r="AN23" s="288"/>
      <c r="AO23" s="289"/>
      <c r="AP23" s="290"/>
      <c r="AQ23" s="828"/>
      <c r="AR23" s="854"/>
    </row>
    <row r="24" spans="1:44" ht="14.25" thickBot="1" thickTop="1">
      <c r="A24" s="297"/>
      <c r="B24" s="55"/>
      <c r="C24" s="55"/>
      <c r="D24" s="315"/>
      <c r="E24" s="286"/>
      <c r="F24" s="286"/>
      <c r="G24" s="287"/>
      <c r="H24" s="288"/>
      <c r="I24" s="289"/>
      <c r="J24" s="290"/>
      <c r="K24" s="828"/>
      <c r="L24" s="828"/>
      <c r="M24" s="314"/>
      <c r="AA24" s="66"/>
      <c r="AB24" s="28"/>
      <c r="AC24" s="279"/>
      <c r="AD24" s="68"/>
      <c r="AE24" s="68"/>
      <c r="AF24" s="68"/>
      <c r="AG24" s="280"/>
      <c r="AH24" s="68"/>
      <c r="AI24" s="68"/>
      <c r="AJ24" s="280"/>
      <c r="AK24" s="281"/>
      <c r="AL24" s="59"/>
      <c r="AM24" s="60"/>
      <c r="AN24" s="39"/>
      <c r="AO24" s="31"/>
      <c r="AP24" s="61"/>
      <c r="AQ24" s="827"/>
      <c r="AR24" s="853"/>
    </row>
    <row r="25" spans="1:44" ht="13.5" thickTop="1">
      <c r="A25" s="14"/>
      <c r="B25" s="28"/>
      <c r="C25" s="28"/>
      <c r="D25" s="34"/>
      <c r="E25" s="59"/>
      <c r="F25" s="59"/>
      <c r="G25" s="60"/>
      <c r="H25" s="39"/>
      <c r="I25" s="31"/>
      <c r="J25" s="61"/>
      <c r="K25" s="827"/>
      <c r="L25" s="827"/>
      <c r="M25" s="131"/>
      <c r="AA25" s="66"/>
      <c r="AB25" s="28"/>
      <c r="AC25" s="279"/>
      <c r="AD25" s="68"/>
      <c r="AE25" s="68"/>
      <c r="AF25" s="68"/>
      <c r="AG25" s="280"/>
      <c r="AH25" s="68"/>
      <c r="AI25" s="68"/>
      <c r="AJ25" s="280"/>
      <c r="AK25" s="281"/>
      <c r="AL25" s="59"/>
      <c r="AM25" s="15"/>
      <c r="AN25" s="39"/>
      <c r="AO25" s="31"/>
      <c r="AP25" s="61"/>
      <c r="AQ25" s="827"/>
      <c r="AR25" s="853"/>
    </row>
    <row r="26" spans="1:44" ht="12.75">
      <c r="A26" s="14"/>
      <c r="B26" s="28"/>
      <c r="C26" s="28"/>
      <c r="D26" s="34"/>
      <c r="E26" s="59"/>
      <c r="F26" s="59"/>
      <c r="G26" s="15"/>
      <c r="H26" s="39"/>
      <c r="I26" s="31"/>
      <c r="J26" s="61"/>
      <c r="K26" s="827"/>
      <c r="L26" s="827"/>
      <c r="M26" s="131"/>
      <c r="AA26" s="296"/>
      <c r="AB26" s="68"/>
      <c r="AC26" s="279"/>
      <c r="AD26" s="68"/>
      <c r="AE26" s="68"/>
      <c r="AF26" s="68"/>
      <c r="AG26" s="280"/>
      <c r="AH26" s="68"/>
      <c r="AI26" s="68"/>
      <c r="AJ26" s="280"/>
      <c r="AK26" s="281"/>
      <c r="AL26" s="301"/>
      <c r="AM26" s="15"/>
      <c r="AN26" s="39"/>
      <c r="AO26" s="31"/>
      <c r="AP26" s="61"/>
      <c r="AQ26" s="827"/>
      <c r="AR26" s="853"/>
    </row>
    <row r="27" spans="1:44" ht="13.5" thickBot="1">
      <c r="A27" s="14"/>
      <c r="B27" s="125"/>
      <c r="C27" s="68"/>
      <c r="D27" s="34"/>
      <c r="E27" s="69"/>
      <c r="F27" s="59"/>
      <c r="G27" s="61"/>
      <c r="H27" s="39"/>
      <c r="I27" s="31"/>
      <c r="J27" s="61"/>
      <c r="K27" s="827"/>
      <c r="L27" s="827"/>
      <c r="M27" s="131"/>
      <c r="AA27" s="295"/>
      <c r="AB27" s="285"/>
      <c r="AC27" s="119"/>
      <c r="AD27" s="118"/>
      <c r="AE27" s="282"/>
      <c r="AF27" s="282"/>
      <c r="AG27" s="282"/>
      <c r="AH27" s="282"/>
      <c r="AI27" s="282"/>
      <c r="AJ27" s="282"/>
      <c r="AK27" s="283"/>
      <c r="AL27" s="286"/>
      <c r="AM27" s="56"/>
      <c r="AN27" s="288"/>
      <c r="AO27" s="289"/>
      <c r="AP27" s="290"/>
      <c r="AQ27" s="828"/>
      <c r="AR27" s="854"/>
    </row>
    <row r="28" spans="1:44" ht="14.25" thickBot="1" thickTop="1">
      <c r="A28" s="297"/>
      <c r="B28" s="285"/>
      <c r="C28" s="285"/>
      <c r="D28" s="313"/>
      <c r="E28" s="286"/>
      <c r="F28" s="286"/>
      <c r="G28" s="287"/>
      <c r="H28" s="288"/>
      <c r="I28" s="289"/>
      <c r="J28" s="290"/>
      <c r="K28" s="828"/>
      <c r="L28" s="828"/>
      <c r="M28" s="314"/>
      <c r="AA28" s="66"/>
      <c r="AB28" s="28"/>
      <c r="AC28" s="279"/>
      <c r="AD28" s="68"/>
      <c r="AE28" s="68"/>
      <c r="AF28" s="68"/>
      <c r="AG28" s="280"/>
      <c r="AH28" s="68"/>
      <c r="AI28" s="68"/>
      <c r="AJ28" s="280"/>
      <c r="AK28" s="281"/>
      <c r="AL28" s="59"/>
      <c r="AM28" s="60"/>
      <c r="AN28" s="39"/>
      <c r="AO28" s="31"/>
      <c r="AP28" s="61"/>
      <c r="AQ28" s="827"/>
      <c r="AR28" s="853"/>
    </row>
    <row r="29" spans="1:44" ht="13.5" thickTop="1">
      <c r="A29" s="14"/>
      <c r="B29" s="28"/>
      <c r="C29" s="28"/>
      <c r="D29" s="34"/>
      <c r="E29" s="59"/>
      <c r="F29" s="59"/>
      <c r="G29" s="60"/>
      <c r="H29" s="39"/>
      <c r="I29" s="31"/>
      <c r="J29" s="61"/>
      <c r="K29" s="827"/>
      <c r="L29" s="827"/>
      <c r="M29" s="131"/>
      <c r="AA29" s="66"/>
      <c r="AB29" s="28"/>
      <c r="AC29" s="279"/>
      <c r="AD29" s="68"/>
      <c r="AE29" s="68"/>
      <c r="AF29" s="68"/>
      <c r="AG29" s="280"/>
      <c r="AH29" s="68"/>
      <c r="AI29" s="68"/>
      <c r="AJ29" s="280"/>
      <c r="AK29" s="281"/>
      <c r="AL29" s="59"/>
      <c r="AM29" s="15"/>
      <c r="AN29" s="39"/>
      <c r="AO29" s="31"/>
      <c r="AP29" s="61"/>
      <c r="AQ29" s="827"/>
      <c r="AR29" s="853"/>
    </row>
    <row r="30" spans="1:44" ht="12.75">
      <c r="A30" s="14"/>
      <c r="B30" s="28"/>
      <c r="C30" s="28"/>
      <c r="D30" s="34"/>
      <c r="E30" s="59"/>
      <c r="F30" s="59"/>
      <c r="G30" s="15"/>
      <c r="H30" s="39"/>
      <c r="I30" s="31"/>
      <c r="J30" s="61"/>
      <c r="K30" s="827"/>
      <c r="L30" s="827"/>
      <c r="M30" s="131"/>
      <c r="AA30" s="296"/>
      <c r="AB30" s="68"/>
      <c r="AC30" s="279"/>
      <c r="AD30" s="68"/>
      <c r="AE30" s="68"/>
      <c r="AF30" s="68"/>
      <c r="AG30" s="280"/>
      <c r="AH30" s="68"/>
      <c r="AI30" s="68"/>
      <c r="AJ30" s="280"/>
      <c r="AK30" s="281"/>
      <c r="AL30" s="301"/>
      <c r="AM30" s="304"/>
      <c r="AN30" s="39"/>
      <c r="AO30" s="31"/>
      <c r="AP30" s="61"/>
      <c r="AQ30" s="827"/>
      <c r="AR30" s="853"/>
    </row>
    <row r="31" spans="1:44" ht="13.5" thickBot="1">
      <c r="A31" s="14"/>
      <c r="B31" s="125"/>
      <c r="C31" s="68"/>
      <c r="D31" s="34"/>
      <c r="E31" s="69"/>
      <c r="F31" s="59"/>
      <c r="G31" s="15"/>
      <c r="H31" s="39"/>
      <c r="I31" s="31"/>
      <c r="J31" s="61"/>
      <c r="K31" s="827"/>
      <c r="L31" s="827"/>
      <c r="M31" s="131"/>
      <c r="AA31" s="295"/>
      <c r="AB31" s="285"/>
      <c r="AC31" s="119"/>
      <c r="AD31" s="118"/>
      <c r="AE31" s="282"/>
      <c r="AF31" s="282"/>
      <c r="AG31" s="282"/>
      <c r="AH31" s="282"/>
      <c r="AI31" s="282"/>
      <c r="AJ31" s="282"/>
      <c r="AK31" s="283"/>
      <c r="AL31" s="286"/>
      <c r="AM31" s="56"/>
      <c r="AN31" s="288"/>
      <c r="AO31" s="289"/>
      <c r="AP31" s="290"/>
      <c r="AQ31" s="828"/>
      <c r="AR31" s="854"/>
    </row>
    <row r="32" spans="1:44" ht="14.25" thickBot="1" thickTop="1">
      <c r="A32" s="297"/>
      <c r="B32" s="285"/>
      <c r="C32" s="55"/>
      <c r="D32" s="313"/>
      <c r="E32" s="286"/>
      <c r="F32" s="286"/>
      <c r="G32" s="287"/>
      <c r="H32" s="288"/>
      <c r="I32" s="289"/>
      <c r="J32" s="290"/>
      <c r="K32" s="828"/>
      <c r="L32" s="828"/>
      <c r="M32" s="314"/>
      <c r="AA32" s="66"/>
      <c r="AB32" s="28"/>
      <c r="AC32" s="279"/>
      <c r="AD32" s="68"/>
      <c r="AE32" s="68"/>
      <c r="AF32" s="68"/>
      <c r="AG32" s="280"/>
      <c r="AH32" s="68"/>
      <c r="AI32" s="68"/>
      <c r="AJ32" s="280"/>
      <c r="AK32" s="281"/>
      <c r="AL32" s="59"/>
      <c r="AM32" s="60"/>
      <c r="AN32" s="39"/>
      <c r="AO32" s="31"/>
      <c r="AP32" s="61"/>
      <c r="AQ32" s="827"/>
      <c r="AR32" s="853"/>
    </row>
    <row r="33" spans="1:44" ht="13.5" thickTop="1">
      <c r="A33" s="14"/>
      <c r="B33" s="28"/>
      <c r="C33" s="28"/>
      <c r="D33" s="34"/>
      <c r="E33" s="59"/>
      <c r="F33" s="59"/>
      <c r="G33" s="60"/>
      <c r="H33" s="39"/>
      <c r="I33" s="31"/>
      <c r="J33" s="61"/>
      <c r="K33" s="827"/>
      <c r="L33" s="827"/>
      <c r="M33" s="131"/>
      <c r="AA33" s="66"/>
      <c r="AB33" s="28"/>
      <c r="AC33" s="279"/>
      <c r="AD33" s="68"/>
      <c r="AE33" s="68"/>
      <c r="AF33" s="68"/>
      <c r="AG33" s="280"/>
      <c r="AH33" s="68"/>
      <c r="AI33" s="68"/>
      <c r="AJ33" s="280"/>
      <c r="AK33" s="281"/>
      <c r="AL33" s="59"/>
      <c r="AM33" s="15"/>
      <c r="AN33" s="39"/>
      <c r="AO33" s="31"/>
      <c r="AP33" s="61"/>
      <c r="AQ33" s="827"/>
      <c r="AR33" s="853"/>
    </row>
    <row r="34" spans="1:44" ht="12.75">
      <c r="A34" s="14"/>
      <c r="B34" s="28"/>
      <c r="C34" s="28"/>
      <c r="D34" s="34"/>
      <c r="E34" s="59"/>
      <c r="F34" s="59"/>
      <c r="G34" s="15"/>
      <c r="H34" s="39"/>
      <c r="I34" s="31"/>
      <c r="J34" s="61"/>
      <c r="K34" s="827"/>
      <c r="L34" s="827"/>
      <c r="M34" s="131"/>
      <c r="AA34" s="296"/>
      <c r="AB34" s="68"/>
      <c r="AC34" s="279"/>
      <c r="AD34" s="68"/>
      <c r="AE34" s="68"/>
      <c r="AF34" s="68"/>
      <c r="AG34" s="280"/>
      <c r="AH34" s="68"/>
      <c r="AI34" s="68"/>
      <c r="AJ34" s="280"/>
      <c r="AK34" s="281"/>
      <c r="AL34" s="301"/>
      <c r="AM34" s="15"/>
      <c r="AN34" s="39"/>
      <c r="AO34" s="31"/>
      <c r="AP34" s="61"/>
      <c r="AQ34" s="827"/>
      <c r="AR34" s="853"/>
    </row>
    <row r="35" spans="1:44" ht="13.5" thickBot="1">
      <c r="A35" s="14"/>
      <c r="B35" s="125"/>
      <c r="C35" s="68"/>
      <c r="D35" s="34"/>
      <c r="E35" s="69"/>
      <c r="F35" s="59"/>
      <c r="G35" s="61"/>
      <c r="H35" s="39"/>
      <c r="I35" s="31"/>
      <c r="J35" s="61"/>
      <c r="K35" s="827"/>
      <c r="L35" s="827"/>
      <c r="M35" s="131"/>
      <c r="AA35" s="295"/>
      <c r="AB35" s="285"/>
      <c r="AC35" s="119"/>
      <c r="AD35" s="118"/>
      <c r="AE35" s="282"/>
      <c r="AF35" s="282"/>
      <c r="AG35" s="282"/>
      <c r="AH35" s="282"/>
      <c r="AI35" s="282"/>
      <c r="AJ35" s="282"/>
      <c r="AK35" s="283"/>
      <c r="AL35" s="286"/>
      <c r="AM35" s="56"/>
      <c r="AN35" s="288"/>
      <c r="AO35" s="289"/>
      <c r="AP35" s="290"/>
      <c r="AQ35" s="828"/>
      <c r="AR35" s="854"/>
    </row>
    <row r="36" spans="1:44" ht="14.25" thickBot="1" thickTop="1">
      <c r="A36" s="297"/>
      <c r="B36" s="285"/>
      <c r="C36" s="285"/>
      <c r="D36" s="313"/>
      <c r="E36" s="286"/>
      <c r="F36" s="286"/>
      <c r="G36" s="287"/>
      <c r="H36" s="288"/>
      <c r="I36" s="289"/>
      <c r="J36" s="290"/>
      <c r="K36" s="828"/>
      <c r="L36" s="828"/>
      <c r="M36" s="314"/>
      <c r="AA36" s="66"/>
      <c r="AB36" s="28"/>
      <c r="AC36" s="279"/>
      <c r="AD36" s="68"/>
      <c r="AE36" s="68"/>
      <c r="AF36" s="68"/>
      <c r="AG36" s="280"/>
      <c r="AH36" s="68"/>
      <c r="AI36" s="68"/>
      <c r="AJ36" s="280"/>
      <c r="AK36" s="281"/>
      <c r="AL36" s="59"/>
      <c r="AM36" s="60"/>
      <c r="AN36" s="39"/>
      <c r="AO36" s="31"/>
      <c r="AP36" s="61"/>
      <c r="AQ36" s="827"/>
      <c r="AR36" s="853"/>
    </row>
    <row r="37" spans="1:44" ht="13.5" thickTop="1">
      <c r="A37" s="14"/>
      <c r="B37" s="28"/>
      <c r="C37" s="28"/>
      <c r="D37" s="34"/>
      <c r="E37" s="59"/>
      <c r="F37" s="59"/>
      <c r="G37" s="60"/>
      <c r="H37" s="39"/>
      <c r="I37" s="31"/>
      <c r="J37" s="61"/>
      <c r="K37" s="827"/>
      <c r="L37" s="827"/>
      <c r="M37" s="131"/>
      <c r="AA37" s="66"/>
      <c r="AB37" s="28"/>
      <c r="AC37" s="279"/>
      <c r="AD37" s="68"/>
      <c r="AE37" s="68"/>
      <c r="AF37" s="68"/>
      <c r="AG37" s="280"/>
      <c r="AH37" s="68"/>
      <c r="AI37" s="68"/>
      <c r="AJ37" s="280"/>
      <c r="AK37" s="281"/>
      <c r="AL37" s="59"/>
      <c r="AM37" s="15"/>
      <c r="AN37" s="39"/>
      <c r="AO37" s="31"/>
      <c r="AP37" s="61"/>
      <c r="AQ37" s="827"/>
      <c r="AR37" s="853"/>
    </row>
    <row r="38" spans="1:44" ht="12.75">
      <c r="A38" s="14"/>
      <c r="B38" s="28"/>
      <c r="C38" s="28"/>
      <c r="D38" s="34"/>
      <c r="E38" s="59"/>
      <c r="F38" s="59"/>
      <c r="G38" s="15"/>
      <c r="H38" s="39"/>
      <c r="I38" s="31"/>
      <c r="J38" s="61"/>
      <c r="K38" s="827"/>
      <c r="L38" s="827"/>
      <c r="M38" s="131"/>
      <c r="AA38" s="296"/>
      <c r="AB38" s="68"/>
      <c r="AC38" s="279"/>
      <c r="AD38" s="68"/>
      <c r="AE38" s="68"/>
      <c r="AF38" s="68"/>
      <c r="AG38" s="280"/>
      <c r="AH38" s="68"/>
      <c r="AI38" s="68"/>
      <c r="AJ38" s="280"/>
      <c r="AK38" s="281"/>
      <c r="AL38" s="301"/>
      <c r="AM38" s="15"/>
      <c r="AN38" s="39"/>
      <c r="AO38" s="31"/>
      <c r="AP38" s="61"/>
      <c r="AQ38" s="827"/>
      <c r="AR38" s="853"/>
    </row>
    <row r="39" spans="1:44" ht="13.5" thickBot="1">
      <c r="A39" s="14"/>
      <c r="B39" s="125"/>
      <c r="C39" s="68"/>
      <c r="D39" s="34"/>
      <c r="E39" s="69"/>
      <c r="F39" s="59"/>
      <c r="G39" s="15"/>
      <c r="H39" s="39"/>
      <c r="I39" s="31"/>
      <c r="J39" s="61"/>
      <c r="K39" s="827"/>
      <c r="L39" s="827"/>
      <c r="M39" s="131"/>
      <c r="AA39" s="297"/>
      <c r="AB39" s="287"/>
      <c r="AC39" s="119"/>
      <c r="AD39" s="118"/>
      <c r="AE39" s="284"/>
      <c r="AF39" s="284"/>
      <c r="AG39" s="284"/>
      <c r="AH39" s="284"/>
      <c r="AI39" s="284"/>
      <c r="AJ39" s="284"/>
      <c r="AK39" s="284"/>
      <c r="AL39" s="286"/>
      <c r="AM39" s="56"/>
      <c r="AN39" s="288"/>
      <c r="AO39" s="289"/>
      <c r="AP39" s="290"/>
      <c r="AQ39" s="828"/>
      <c r="AR39" s="854"/>
    </row>
    <row r="40" spans="1:44" ht="14.25" thickBot="1" thickTop="1">
      <c r="A40" s="297"/>
      <c r="B40" s="285"/>
      <c r="C40" s="55"/>
      <c r="D40" s="313"/>
      <c r="E40" s="286"/>
      <c r="F40" s="286"/>
      <c r="G40" s="287"/>
      <c r="H40" s="288"/>
      <c r="I40" s="289"/>
      <c r="J40" s="290"/>
      <c r="K40" s="828"/>
      <c r="L40" s="828"/>
      <c r="M40" s="314"/>
      <c r="AA40" s="298"/>
      <c r="AB40" s="856"/>
      <c r="AC40" s="856"/>
      <c r="AD40" s="863"/>
      <c r="AE40" s="863"/>
      <c r="AF40" s="865"/>
      <c r="AG40" s="865"/>
      <c r="AH40" s="91"/>
      <c r="AI40" s="855"/>
      <c r="AJ40" s="856"/>
      <c r="AK40" s="857"/>
      <c r="AL40" s="855"/>
      <c r="AM40" s="856"/>
      <c r="AN40" s="857"/>
      <c r="AO40" s="126"/>
      <c r="AP40" s="858"/>
      <c r="AQ40" s="859"/>
      <c r="AR40" s="860"/>
    </row>
    <row r="41" spans="1:44" ht="14.25" thickBot="1" thickTop="1">
      <c r="A41" s="14"/>
      <c r="B41" s="28"/>
      <c r="C41" s="28"/>
      <c r="D41" s="34"/>
      <c r="E41" s="59"/>
      <c r="F41" s="59"/>
      <c r="G41" s="60"/>
      <c r="H41" s="39"/>
      <c r="I41" s="31"/>
      <c r="J41" s="61"/>
      <c r="K41" s="827"/>
      <c r="L41" s="827"/>
      <c r="M41" s="131"/>
      <c r="AA41" s="298"/>
      <c r="AB41" s="816"/>
      <c r="AC41" s="816"/>
      <c r="AD41" s="864"/>
      <c r="AE41" s="864"/>
      <c r="AF41" s="856"/>
      <c r="AG41" s="856"/>
      <c r="AH41" s="91"/>
      <c r="AI41" s="273"/>
      <c r="AJ41" s="834"/>
      <c r="AK41" s="835"/>
      <c r="AL41" s="274"/>
      <c r="AM41" s="834"/>
      <c r="AN41" s="835"/>
      <c r="AO41" s="126"/>
      <c r="AP41" s="275"/>
      <c r="AQ41" s="861"/>
      <c r="AR41" s="862"/>
    </row>
    <row r="42" spans="1:44" ht="12.75">
      <c r="A42" s="14"/>
      <c r="B42" s="28"/>
      <c r="C42" s="28"/>
      <c r="D42" s="34"/>
      <c r="E42" s="59"/>
      <c r="F42" s="59"/>
      <c r="G42" s="15"/>
      <c r="H42" s="39"/>
      <c r="I42" s="31"/>
      <c r="J42" s="61"/>
      <c r="K42" s="827"/>
      <c r="L42" s="827"/>
      <c r="M42" s="131"/>
      <c r="AA42" s="298"/>
      <c r="AB42" s="24"/>
      <c r="AC42" s="126"/>
      <c r="AD42" s="126"/>
      <c r="AE42" s="126"/>
      <c r="AF42" s="126"/>
      <c r="AG42" s="126"/>
      <c r="AH42" s="126"/>
      <c r="AI42" s="126"/>
      <c r="AJ42" s="126"/>
      <c r="AK42" s="126"/>
      <c r="AL42" s="126"/>
      <c r="AM42" s="126"/>
      <c r="AN42" s="126"/>
      <c r="AO42" s="91"/>
      <c r="AP42" s="126"/>
      <c r="AQ42" s="91"/>
      <c r="AR42" s="302"/>
    </row>
    <row r="43" spans="1:44" ht="12.75">
      <c r="A43" s="14"/>
      <c r="B43" s="125"/>
      <c r="C43" s="68"/>
      <c r="D43" s="34"/>
      <c r="E43" s="69"/>
      <c r="F43" s="59"/>
      <c r="G43" s="15"/>
      <c r="H43" s="39"/>
      <c r="I43" s="31"/>
      <c r="J43" s="61"/>
      <c r="K43" s="827"/>
      <c r="L43" s="827"/>
      <c r="M43" s="131"/>
      <c r="AA43" s="298"/>
      <c r="AB43" s="126"/>
      <c r="AC43" s="866"/>
      <c r="AD43" s="867"/>
      <c r="AE43" s="867"/>
      <c r="AF43" s="867"/>
      <c r="AG43" s="867"/>
      <c r="AH43" s="867"/>
      <c r="AI43" s="867"/>
      <c r="AJ43" s="867"/>
      <c r="AK43" s="868"/>
      <c r="AL43" s="85"/>
      <c r="AM43" s="869"/>
      <c r="AN43" s="869"/>
      <c r="AO43" s="85"/>
      <c r="AP43" s="869"/>
      <c r="AQ43" s="869"/>
      <c r="AR43" s="302"/>
    </row>
    <row r="44" spans="1:44" ht="13.5" thickBot="1">
      <c r="A44" s="297"/>
      <c r="B44" s="285"/>
      <c r="C44" s="55"/>
      <c r="D44" s="313"/>
      <c r="E44" s="286"/>
      <c r="F44" s="286"/>
      <c r="G44" s="285"/>
      <c r="H44" s="288"/>
      <c r="I44" s="289"/>
      <c r="J44" s="290"/>
      <c r="K44" s="828"/>
      <c r="L44" s="828"/>
      <c r="M44" s="314"/>
      <c r="AA44" s="298"/>
      <c r="AB44" s="126"/>
      <c r="AC44" s="870"/>
      <c r="AD44" s="869"/>
      <c r="AE44" s="869"/>
      <c r="AF44" s="869"/>
      <c r="AG44" s="869"/>
      <c r="AH44" s="869"/>
      <c r="AI44" s="869"/>
      <c r="AJ44" s="869"/>
      <c r="AK44" s="871"/>
      <c r="AL44" s="85"/>
      <c r="AM44" s="869"/>
      <c r="AN44" s="869"/>
      <c r="AO44" s="85"/>
      <c r="AP44" s="869"/>
      <c r="AQ44" s="869"/>
      <c r="AR44" s="303"/>
    </row>
    <row r="45" spans="1:44" ht="14.25" thickBot="1" thickTop="1">
      <c r="A45" s="14"/>
      <c r="B45" s="15"/>
      <c r="C45" s="829"/>
      <c r="D45" s="816"/>
      <c r="E45" s="830"/>
      <c r="F45" s="829"/>
      <c r="G45" s="816"/>
      <c r="H45" s="830"/>
      <c r="I45" s="15"/>
      <c r="J45" s="831"/>
      <c r="K45" s="832"/>
      <c r="L45" s="833"/>
      <c r="M45" s="131"/>
      <c r="AA45" s="299"/>
      <c r="AB45" s="300"/>
      <c r="AC45" s="300"/>
      <c r="AD45" s="300"/>
      <c r="AE45" s="300"/>
      <c r="AF45" s="300"/>
      <c r="AG45" s="300"/>
      <c r="AH45" s="300"/>
      <c r="AI45" s="300"/>
      <c r="AJ45" s="300"/>
      <c r="AK45" s="300"/>
      <c r="AL45" s="300"/>
      <c r="AM45" s="300"/>
      <c r="AN45" s="300"/>
      <c r="AO45" s="300"/>
      <c r="AP45" s="300"/>
      <c r="AQ45" s="300"/>
      <c r="AR45" s="267"/>
    </row>
    <row r="46" spans="1:13" ht="16.5" thickBot="1">
      <c r="A46" s="14"/>
      <c r="B46" s="126"/>
      <c r="C46" s="71"/>
      <c r="D46" s="834"/>
      <c r="E46" s="835"/>
      <c r="F46" s="72"/>
      <c r="G46" s="834"/>
      <c r="H46" s="835"/>
      <c r="I46" s="15"/>
      <c r="J46" s="222"/>
      <c r="K46" s="836"/>
      <c r="L46" s="837"/>
      <c r="M46" s="131"/>
    </row>
    <row r="47" spans="1:13" ht="12.75">
      <c r="A47" s="14"/>
      <c r="B47" s="15"/>
      <c r="C47" s="15"/>
      <c r="D47" s="15"/>
      <c r="E47" s="15"/>
      <c r="F47" s="15"/>
      <c r="G47" s="15"/>
      <c r="H47" s="15"/>
      <c r="I47" s="15"/>
      <c r="J47" s="221"/>
      <c r="K47" s="15"/>
      <c r="L47" s="221"/>
      <c r="M47" s="17"/>
    </row>
    <row r="48" spans="1:13" ht="12.75">
      <c r="A48" s="14"/>
      <c r="B48" s="15"/>
      <c r="C48" s="816"/>
      <c r="D48" s="816"/>
      <c r="E48" s="838"/>
      <c r="F48" s="838"/>
      <c r="G48" s="24"/>
      <c r="H48" s="838"/>
      <c r="I48" s="838"/>
      <c r="J48" s="24"/>
      <c r="K48" s="838"/>
      <c r="L48" s="838"/>
      <c r="M48" s="17"/>
    </row>
    <row r="49" spans="1:13" ht="12.75">
      <c r="A49" s="14"/>
      <c r="B49" s="15"/>
      <c r="C49" s="816"/>
      <c r="D49" s="816"/>
      <c r="E49" s="845"/>
      <c r="F49" s="845"/>
      <c r="G49" s="24"/>
      <c r="H49" s="838"/>
      <c r="I49" s="838"/>
      <c r="J49" s="24"/>
      <c r="K49" s="845"/>
      <c r="L49" s="845"/>
      <c r="M49" s="132"/>
    </row>
    <row r="50" spans="1:13" ht="12.75">
      <c r="A50" s="14"/>
      <c r="B50" s="127"/>
      <c r="C50" s="15"/>
      <c r="D50" s="15"/>
      <c r="E50" s="15"/>
      <c r="F50" s="15"/>
      <c r="G50" s="15"/>
      <c r="H50" s="15"/>
      <c r="I50" s="15"/>
      <c r="J50" s="15"/>
      <c r="K50" s="15"/>
      <c r="L50" s="15"/>
      <c r="M50" s="132"/>
    </row>
    <row r="51" spans="1:13" ht="12.75">
      <c r="A51" s="14"/>
      <c r="B51" s="127"/>
      <c r="C51" s="839"/>
      <c r="D51" s="840"/>
      <c r="E51" s="840"/>
      <c r="F51" s="840"/>
      <c r="G51" s="840"/>
      <c r="H51" s="840"/>
      <c r="I51" s="840"/>
      <c r="J51" s="840"/>
      <c r="K51" s="840"/>
      <c r="L51" s="841"/>
      <c r="M51" s="132"/>
    </row>
    <row r="52" spans="1:13" ht="12.75">
      <c r="A52" s="14"/>
      <c r="B52" s="85"/>
      <c r="C52" s="842"/>
      <c r="D52" s="843"/>
      <c r="E52" s="843"/>
      <c r="F52" s="843"/>
      <c r="G52" s="843"/>
      <c r="H52" s="843"/>
      <c r="I52" s="843"/>
      <c r="J52" s="843"/>
      <c r="K52" s="843"/>
      <c r="L52" s="844"/>
      <c r="M52" s="132"/>
    </row>
    <row r="53" spans="1:13" ht="13.5" thickBot="1">
      <c r="A53" s="308"/>
      <c r="B53" s="309"/>
      <c r="C53" s="310"/>
      <c r="D53" s="310"/>
      <c r="E53" s="310"/>
      <c r="F53" s="310"/>
      <c r="G53" s="310"/>
      <c r="H53" s="310"/>
      <c r="I53" s="310"/>
      <c r="J53" s="310"/>
      <c r="K53" s="310"/>
      <c r="L53" s="311"/>
      <c r="M53" s="305"/>
    </row>
  </sheetData>
  <sheetProtection/>
  <mergeCells count="111">
    <mergeCell ref="AF40:AG40"/>
    <mergeCell ref="AI40:AK40"/>
    <mergeCell ref="AC43:AK43"/>
    <mergeCell ref="AM43:AN43"/>
    <mergeCell ref="AP43:AQ43"/>
    <mergeCell ref="AC44:AK44"/>
    <mergeCell ref="AM44:AN44"/>
    <mergeCell ref="AP44:AQ44"/>
    <mergeCell ref="AQ38:AR38"/>
    <mergeCell ref="AQ39:AR39"/>
    <mergeCell ref="AM41:AN41"/>
    <mergeCell ref="AQ41:AR41"/>
    <mergeCell ref="AB40:AC40"/>
    <mergeCell ref="AD40:AE40"/>
    <mergeCell ref="AB41:AC41"/>
    <mergeCell ref="AD41:AE41"/>
    <mergeCell ref="AF41:AG41"/>
    <mergeCell ref="AJ41:AK41"/>
    <mergeCell ref="AQ30:AR30"/>
    <mergeCell ref="AQ31:AR31"/>
    <mergeCell ref="AL40:AN40"/>
    <mergeCell ref="AP40:AR40"/>
    <mergeCell ref="AQ32:AR32"/>
    <mergeCell ref="AQ33:AR33"/>
    <mergeCell ref="AQ34:AR34"/>
    <mergeCell ref="AQ35:AR35"/>
    <mergeCell ref="AQ36:AR36"/>
    <mergeCell ref="AQ37:AR37"/>
    <mergeCell ref="AQ24:AR24"/>
    <mergeCell ref="AQ25:AR25"/>
    <mergeCell ref="AQ26:AR26"/>
    <mergeCell ref="AQ27:AR27"/>
    <mergeCell ref="AQ28:AR28"/>
    <mergeCell ref="AQ29:AR29"/>
    <mergeCell ref="AQ18:AR18"/>
    <mergeCell ref="AQ19:AR19"/>
    <mergeCell ref="AQ20:AR20"/>
    <mergeCell ref="AQ21:AR21"/>
    <mergeCell ref="AQ22:AR22"/>
    <mergeCell ref="AQ23:AR23"/>
    <mergeCell ref="AB12:AC12"/>
    <mergeCell ref="AO12:AP12"/>
    <mergeCell ref="AQ14:AR14"/>
    <mergeCell ref="AQ15:AR15"/>
    <mergeCell ref="AQ16:AR16"/>
    <mergeCell ref="AQ17:AR17"/>
    <mergeCell ref="AB8:AC8"/>
    <mergeCell ref="AB9:AC9"/>
    <mergeCell ref="AO9:AP9"/>
    <mergeCell ref="AB10:AC10"/>
    <mergeCell ref="AO10:AP10"/>
    <mergeCell ref="AB11:AC11"/>
    <mergeCell ref="AO11:AP11"/>
    <mergeCell ref="AB3:AP3"/>
    <mergeCell ref="AD5:AE5"/>
    <mergeCell ref="AH5:AI5"/>
    <mergeCell ref="AJ5:AO5"/>
    <mergeCell ref="AB6:AC6"/>
    <mergeCell ref="AD6:AH6"/>
    <mergeCell ref="C48:D48"/>
    <mergeCell ref="E48:F48"/>
    <mergeCell ref="H48:I48"/>
    <mergeCell ref="K48:L48"/>
    <mergeCell ref="C51:L51"/>
    <mergeCell ref="C52:L52"/>
    <mergeCell ref="C49:D49"/>
    <mergeCell ref="E49:F49"/>
    <mergeCell ref="H49:I49"/>
    <mergeCell ref="K49:L49"/>
    <mergeCell ref="C45:E45"/>
    <mergeCell ref="F45:H45"/>
    <mergeCell ref="J45:L45"/>
    <mergeCell ref="D46:E46"/>
    <mergeCell ref="G46:H46"/>
    <mergeCell ref="K46:L46"/>
    <mergeCell ref="K39:L39"/>
    <mergeCell ref="K40:L40"/>
    <mergeCell ref="K41:L41"/>
    <mergeCell ref="K42:L42"/>
    <mergeCell ref="K43:L43"/>
    <mergeCell ref="K44:L44"/>
    <mergeCell ref="K33:L33"/>
    <mergeCell ref="K34:L34"/>
    <mergeCell ref="K35:L35"/>
    <mergeCell ref="K36:L36"/>
    <mergeCell ref="K37:L37"/>
    <mergeCell ref="K38:L38"/>
    <mergeCell ref="K27:L27"/>
    <mergeCell ref="K28:L28"/>
    <mergeCell ref="K29:L29"/>
    <mergeCell ref="K30:L30"/>
    <mergeCell ref="K31:L31"/>
    <mergeCell ref="K32:L32"/>
    <mergeCell ref="K21:L21"/>
    <mergeCell ref="K22:L22"/>
    <mergeCell ref="K23:L23"/>
    <mergeCell ref="K24:L24"/>
    <mergeCell ref="K25:L25"/>
    <mergeCell ref="K26:L26"/>
    <mergeCell ref="B14:C14"/>
    <mergeCell ref="B15:C15"/>
    <mergeCell ref="B16:C16"/>
    <mergeCell ref="B17:C17"/>
    <mergeCell ref="K19:L19"/>
    <mergeCell ref="K20:L20"/>
    <mergeCell ref="B2:L2"/>
    <mergeCell ref="D5:E5"/>
    <mergeCell ref="I5:K5"/>
    <mergeCell ref="B6:C6"/>
    <mergeCell ref="D6:E6"/>
    <mergeCell ref="B13:C13"/>
  </mergeCells>
  <conditionalFormatting sqref="AJ16:AJ38">
    <cfRule type="cellIs" priority="1" dxfId="7" operator="greaterThan" stopIfTrue="1">
      <formula>2</formula>
    </cfRule>
  </conditionalFormatting>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heet6"/>
  <dimension ref="A1:CC575"/>
  <sheetViews>
    <sheetView tabSelected="1" zoomScaleSheetLayoutView="100" zoomScalePageLayoutView="0" workbookViewId="0" topLeftCell="A1">
      <selection activeCell="D5" sqref="D5:E5"/>
    </sheetView>
  </sheetViews>
  <sheetFormatPr defaultColWidth="9.140625" defaultRowHeight="12.75"/>
  <cols>
    <col min="1" max="1" width="2.7109375" style="1" customWidth="1"/>
    <col min="2" max="2" width="7.00390625" style="1" customWidth="1"/>
    <col min="3" max="3" width="8.57421875" style="1" customWidth="1"/>
    <col min="4" max="8" width="9.28125" style="1" customWidth="1"/>
    <col min="9" max="10" width="12.140625" style="1" customWidth="1"/>
    <col min="11" max="14" width="9.28125" style="1" customWidth="1"/>
    <col min="15" max="15" width="2.7109375" style="1" customWidth="1"/>
    <col min="16" max="26" width="12.421875" style="1" hidden="1" customWidth="1"/>
    <col min="27" max="27" width="12.421875" style="65" hidden="1" customWidth="1"/>
    <col min="28" max="46" width="12.421875" style="1" hidden="1" customWidth="1"/>
    <col min="47" max="47" width="9.28125" style="1" hidden="1" customWidth="1"/>
    <col min="48" max="48" width="13.421875" style="1" hidden="1" customWidth="1"/>
    <col min="49" max="49" width="12.421875" style="1" hidden="1" customWidth="1"/>
    <col min="50" max="50" width="9.421875" style="1" hidden="1" customWidth="1"/>
    <col min="51" max="51" width="7.57421875" style="1" hidden="1" customWidth="1"/>
    <col min="52" max="66" width="9.140625" style="1" hidden="1" customWidth="1"/>
    <col min="67" max="67" width="13.8515625" style="1" hidden="1" customWidth="1"/>
    <col min="68" max="68" width="18.140625" style="1" hidden="1" customWidth="1"/>
    <col min="69" max="69" width="21.57421875" style="1" hidden="1" customWidth="1"/>
    <col min="70" max="70" width="21.00390625" style="1" hidden="1" customWidth="1"/>
    <col min="71" max="71" width="19.421875" style="1" hidden="1" customWidth="1"/>
    <col min="72" max="72" width="19.8515625" style="1" hidden="1" customWidth="1"/>
    <col min="73" max="73" width="20.57421875" style="1" hidden="1" customWidth="1"/>
    <col min="74" max="81" width="9.140625" style="1" hidden="1" customWidth="1"/>
    <col min="82" max="83" width="0" style="1" hidden="1" customWidth="1"/>
    <col min="84" max="16384" width="9.140625" style="1" customWidth="1"/>
  </cols>
  <sheetData>
    <row r="1" spans="1:36" ht="13.5" customHeight="1">
      <c r="A1" s="338"/>
      <c r="B1" s="339"/>
      <c r="C1" s="748">
        <v>40273</v>
      </c>
      <c r="D1" s="340"/>
      <c r="E1" s="340"/>
      <c r="F1" s="340"/>
      <c r="G1" s="340"/>
      <c r="H1" s="340"/>
      <c r="I1" s="340"/>
      <c r="J1" s="340"/>
      <c r="K1" s="340"/>
      <c r="L1" s="340"/>
      <c r="M1" s="340"/>
      <c r="N1" s="340"/>
      <c r="O1" s="342"/>
      <c r="P1" s="567"/>
      <c r="Q1" s="567"/>
      <c r="R1" s="567"/>
      <c r="S1" s="568"/>
      <c r="T1" s="569"/>
      <c r="U1" s="11"/>
      <c r="V1" s="7"/>
      <c r="W1" s="7"/>
      <c r="X1" s="7"/>
      <c r="Y1" s="7"/>
      <c r="AC1" s="8"/>
      <c r="AD1" s="12"/>
      <c r="AJ1" s="13"/>
    </row>
    <row r="2" spans="1:21" ht="16.5" customHeight="1">
      <c r="A2" s="878" t="s">
        <v>400</v>
      </c>
      <c r="B2" s="879"/>
      <c r="C2" s="879"/>
      <c r="D2" s="879"/>
      <c r="E2" s="879"/>
      <c r="F2" s="879"/>
      <c r="G2" s="879"/>
      <c r="H2" s="879"/>
      <c r="I2" s="879"/>
      <c r="J2" s="879"/>
      <c r="K2" s="879"/>
      <c r="L2" s="879"/>
      <c r="M2" s="879"/>
      <c r="N2" s="879"/>
      <c r="O2" s="880"/>
      <c r="P2" s="569"/>
      <c r="Q2" s="569"/>
      <c r="R2" s="569"/>
      <c r="S2" s="569"/>
      <c r="T2" s="569"/>
      <c r="U2" s="7"/>
    </row>
    <row r="3" spans="1:61" ht="26.25">
      <c r="A3" s="881" t="s">
        <v>185</v>
      </c>
      <c r="B3" s="882"/>
      <c r="C3" s="882"/>
      <c r="D3" s="882"/>
      <c r="E3" s="882"/>
      <c r="F3" s="882"/>
      <c r="G3" s="882"/>
      <c r="H3" s="882"/>
      <c r="I3" s="882"/>
      <c r="J3" s="882"/>
      <c r="K3" s="882"/>
      <c r="L3" s="882"/>
      <c r="M3" s="882"/>
      <c r="N3" s="882"/>
      <c r="O3" s="883"/>
      <c r="P3" s="570"/>
      <c r="R3" s="570"/>
      <c r="S3" s="570"/>
      <c r="T3" s="569"/>
      <c r="U3" s="7"/>
      <c r="Y3" s="7"/>
      <c r="AG3" s="65"/>
      <c r="AJ3" s="13"/>
      <c r="BC3" s="765" t="s">
        <v>234</v>
      </c>
      <c r="BD3" s="765"/>
      <c r="BF3" s="765" t="s">
        <v>235</v>
      </c>
      <c r="BG3" s="765"/>
      <c r="BH3" s="764" t="s">
        <v>236</v>
      </c>
      <c r="BI3" s="764"/>
    </row>
    <row r="4" spans="1:61" ht="3.75" customHeight="1">
      <c r="A4" s="343"/>
      <c r="B4" s="344"/>
      <c r="C4" s="344"/>
      <c r="D4" s="344"/>
      <c r="E4" s="344"/>
      <c r="F4" s="344"/>
      <c r="G4" s="344"/>
      <c r="H4" s="344"/>
      <c r="I4" s="344"/>
      <c r="J4" s="344"/>
      <c r="K4" s="344"/>
      <c r="L4" s="344"/>
      <c r="M4" s="344"/>
      <c r="N4" s="344"/>
      <c r="O4" s="346"/>
      <c r="P4" s="571"/>
      <c r="Q4" s="569"/>
      <c r="R4" s="569"/>
      <c r="S4" s="569"/>
      <c r="T4" s="569"/>
      <c r="U4" s="7"/>
      <c r="X4" s="65"/>
      <c r="Y4" s="133"/>
      <c r="AJ4" s="12"/>
      <c r="BC4" s="765"/>
      <c r="BD4" s="765"/>
      <c r="BF4" s="765"/>
      <c r="BG4" s="765"/>
      <c r="BH4" s="764"/>
      <c r="BI4" s="764"/>
    </row>
    <row r="5" spans="1:81" ht="18" customHeight="1">
      <c r="A5" s="343"/>
      <c r="B5" s="347"/>
      <c r="C5" s="702" t="s">
        <v>0</v>
      </c>
      <c r="D5" s="769"/>
      <c r="E5" s="769"/>
      <c r="F5" s="778" t="s">
        <v>169</v>
      </c>
      <c r="G5" s="778"/>
      <c r="H5" s="775"/>
      <c r="I5" s="775"/>
      <c r="J5" s="775"/>
      <c r="K5" s="775"/>
      <c r="L5" s="775"/>
      <c r="M5" s="775"/>
      <c r="N5" s="775"/>
      <c r="O5" s="390"/>
      <c r="P5" s="572"/>
      <c r="T5" s="7"/>
      <c r="U5" s="7"/>
      <c r="W5" s="65"/>
      <c r="X5" s="65"/>
      <c r="Y5" s="65">
        <v>0</v>
      </c>
      <c r="Z5" s="65"/>
      <c r="AG5" s="38"/>
      <c r="AH5" s="38"/>
      <c r="AI5" s="38"/>
      <c r="AJ5" s="38"/>
      <c r="AK5" s="38"/>
      <c r="AL5" s="38"/>
      <c r="AM5" s="38"/>
      <c r="AN5" s="38"/>
      <c r="AO5" s="38"/>
      <c r="AP5" s="38"/>
      <c r="AQ5" s="38"/>
      <c r="AR5" s="38"/>
      <c r="AS5" s="38"/>
      <c r="BB5" s="617"/>
      <c r="BC5" s="617" t="s">
        <v>232</v>
      </c>
      <c r="BD5" s="617" t="s">
        <v>233</v>
      </c>
      <c r="BE5" s="617"/>
      <c r="BF5" s="617" t="s">
        <v>232</v>
      </c>
      <c r="BG5" s="617" t="s">
        <v>233</v>
      </c>
      <c r="BH5" s="765" t="s">
        <v>237</v>
      </c>
      <c r="BI5" s="765"/>
      <c r="BM5" s="661"/>
      <c r="BN5" s="661"/>
      <c r="BO5" s="661"/>
      <c r="BP5" s="661"/>
      <c r="BQ5" s="661"/>
      <c r="BR5" s="661"/>
      <c r="BS5" s="661"/>
      <c r="BT5" s="661"/>
      <c r="BU5" s="661"/>
      <c r="BV5" s="661"/>
      <c r="BW5" s="661"/>
      <c r="BX5" s="661"/>
      <c r="BY5" s="661"/>
      <c r="BZ5" s="661"/>
      <c r="CA5" s="661"/>
      <c r="CB5" s="661"/>
      <c r="CC5" s="661"/>
    </row>
    <row r="6" spans="1:81" ht="15" customHeight="1">
      <c r="A6" s="343"/>
      <c r="B6" s="776" t="s">
        <v>172</v>
      </c>
      <c r="C6" s="776"/>
      <c r="D6" s="701"/>
      <c r="E6" s="701"/>
      <c r="F6" s="425" t="s">
        <v>383</v>
      </c>
      <c r="G6" s="703"/>
      <c r="H6" s="425" t="s">
        <v>384</v>
      </c>
      <c r="I6" s="703"/>
      <c r="J6" s="747"/>
      <c r="K6" s="776" t="str">
        <f>VLOOKUP(D9,AL124:AM135,2)</f>
        <v>GYRATORY DESIGN</v>
      </c>
      <c r="L6" s="776"/>
      <c r="M6" s="776"/>
      <c r="N6" s="776"/>
      <c r="O6" s="391"/>
      <c r="P6" s="396"/>
      <c r="Q6" s="873"/>
      <c r="R6" s="873"/>
      <c r="S6" s="560"/>
      <c r="T6" s="574"/>
      <c r="U6" s="7"/>
      <c r="W6" s="65"/>
      <c r="X6" s="65"/>
      <c r="Y6" s="65"/>
      <c r="Z6" s="65"/>
      <c r="AG6" s="38"/>
      <c r="AH6" s="38"/>
      <c r="AI6" s="38"/>
      <c r="AJ6" s="38"/>
      <c r="AK6" s="38"/>
      <c r="AL6" s="38"/>
      <c r="AM6" s="38"/>
      <c r="AN6" s="38"/>
      <c r="AO6" s="38"/>
      <c r="AP6" s="38"/>
      <c r="AQ6" s="38"/>
      <c r="AR6" s="38"/>
      <c r="AS6" s="38"/>
      <c r="BB6" s="618">
        <v>83.2</v>
      </c>
      <c r="BC6" s="619">
        <v>0.5</v>
      </c>
      <c r="BD6" s="619">
        <v>0.5</v>
      </c>
      <c r="BE6" s="618">
        <v>83.2</v>
      </c>
      <c r="BF6" s="619">
        <v>0.5</v>
      </c>
      <c r="BG6" s="619">
        <v>0.5</v>
      </c>
      <c r="BH6" s="623">
        <f>+IF((OR(($AK$87=3),($AK$87=2))),BC6,BF6)</f>
        <v>0.5</v>
      </c>
      <c r="BI6" s="623">
        <f>+IF((OR(($AK$87=3),($AK$87=2))),BD6,BG6)</f>
        <v>0.5</v>
      </c>
      <c r="BM6" s="661"/>
      <c r="BN6" s="661"/>
      <c r="BO6" s="661"/>
      <c r="BP6" s="661"/>
      <c r="BQ6" s="661"/>
      <c r="BR6" s="661"/>
      <c r="BS6" s="661"/>
      <c r="BT6" s="661"/>
      <c r="BU6" s="661"/>
      <c r="BV6" s="661"/>
      <c r="BW6" s="661"/>
      <c r="BX6" s="661"/>
      <c r="BY6" s="661"/>
      <c r="BZ6" s="661"/>
      <c r="CA6" s="661"/>
      <c r="CB6" s="661"/>
      <c r="CC6" s="661"/>
    </row>
    <row r="7" spans="1:81" ht="6" customHeight="1">
      <c r="A7" s="343"/>
      <c r="B7" s="381"/>
      <c r="C7" s="381"/>
      <c r="D7" s="382"/>
      <c r="E7" s="382"/>
      <c r="F7" s="382"/>
      <c r="G7" s="382"/>
      <c r="H7" s="382"/>
      <c r="I7" s="344"/>
      <c r="J7" s="344"/>
      <c r="K7" s="348"/>
      <c r="L7" s="348"/>
      <c r="M7" s="344"/>
      <c r="N7" s="344"/>
      <c r="O7" s="391"/>
      <c r="P7" s="396"/>
      <c r="Q7" s="573"/>
      <c r="R7" s="573"/>
      <c r="S7" s="560"/>
      <c r="T7" s="574"/>
      <c r="U7" s="7"/>
      <c r="W7" s="65"/>
      <c r="X7" s="65"/>
      <c r="Y7" s="65"/>
      <c r="Z7" s="65"/>
      <c r="AG7" s="38"/>
      <c r="AH7" s="38"/>
      <c r="AI7" s="38"/>
      <c r="AJ7" s="38"/>
      <c r="AK7" s="38"/>
      <c r="AL7" s="38"/>
      <c r="AM7" s="38"/>
      <c r="AN7" s="38"/>
      <c r="AO7" s="38"/>
      <c r="AP7" s="38"/>
      <c r="AQ7" s="38"/>
      <c r="AR7" s="38"/>
      <c r="AS7" s="38"/>
      <c r="BB7" s="618">
        <v>83.3</v>
      </c>
      <c r="BC7" s="619">
        <v>0.5</v>
      </c>
      <c r="BD7" s="619">
        <v>0.5</v>
      </c>
      <c r="BE7" s="618">
        <v>83.3</v>
      </c>
      <c r="BF7" s="619">
        <v>0.5</v>
      </c>
      <c r="BG7" s="619">
        <v>0.5</v>
      </c>
      <c r="BH7" s="623">
        <f aca="true" t="shared" si="0" ref="BH7:BH70">+IF((OR(($AK$87=3),($AK$87=2))),BC7,BF7)</f>
        <v>0.5</v>
      </c>
      <c r="BI7" s="623">
        <f aca="true" t="shared" si="1" ref="BI7:BI70">+IF((OR(($AK$87=3),($AK$87=2))),BD7,BG7)</f>
        <v>0.5</v>
      </c>
      <c r="BM7" s="661"/>
      <c r="BN7" s="661"/>
      <c r="BO7" s="661"/>
      <c r="BP7" s="661"/>
      <c r="BQ7" s="661"/>
      <c r="BR7" s="661"/>
      <c r="BS7" s="661"/>
      <c r="BT7" s="661"/>
      <c r="BU7" s="661"/>
      <c r="BV7" s="661"/>
      <c r="BW7" s="661"/>
      <c r="BX7" s="661"/>
      <c r="BY7" s="661"/>
      <c r="BZ7" s="661"/>
      <c r="CA7" s="661"/>
      <c r="CB7" s="661"/>
      <c r="CC7" s="661"/>
    </row>
    <row r="8" spans="1:81" ht="15" customHeight="1">
      <c r="A8" s="343"/>
      <c r="B8" s="772" t="s">
        <v>9</v>
      </c>
      <c r="C8" s="772"/>
      <c r="D8" s="704"/>
      <c r="E8" s="772" t="s">
        <v>167</v>
      </c>
      <c r="F8" s="772"/>
      <c r="G8" s="701"/>
      <c r="H8" s="767">
        <f>IF(G8="","","Square Yard Inch Project")</f>
      </c>
      <c r="I8" s="767"/>
      <c r="J8" s="767"/>
      <c r="K8" s="767"/>
      <c r="L8" s="767"/>
      <c r="M8" s="767"/>
      <c r="N8" s="344"/>
      <c r="O8" s="391"/>
      <c r="P8" s="396"/>
      <c r="Q8" s="573"/>
      <c r="R8" s="573"/>
      <c r="S8" s="560"/>
      <c r="T8" s="574"/>
      <c r="U8" s="7"/>
      <c r="W8" s="65"/>
      <c r="X8" s="65"/>
      <c r="Y8" s="65"/>
      <c r="Z8" s="65"/>
      <c r="AG8" s="38"/>
      <c r="AH8" s="38"/>
      <c r="AI8" s="38"/>
      <c r="AJ8" s="38"/>
      <c r="AK8" s="38"/>
      <c r="AL8" s="38"/>
      <c r="AM8" s="38"/>
      <c r="AN8" s="38"/>
      <c r="AO8" s="38"/>
      <c r="AP8" s="38"/>
      <c r="AQ8" s="38"/>
      <c r="AR8" s="38"/>
      <c r="AS8" s="38"/>
      <c r="BB8" s="618">
        <v>83.4</v>
      </c>
      <c r="BC8" s="619">
        <v>0.5</v>
      </c>
      <c r="BD8" s="619">
        <v>0.5</v>
      </c>
      <c r="BE8" s="618">
        <v>83.4</v>
      </c>
      <c r="BF8" s="619">
        <v>0.5</v>
      </c>
      <c r="BG8" s="619">
        <v>0.5</v>
      </c>
      <c r="BH8" s="623">
        <f t="shared" si="0"/>
        <v>0.5</v>
      </c>
      <c r="BI8" s="623">
        <f t="shared" si="1"/>
        <v>0.5</v>
      </c>
      <c r="BM8" s="661"/>
      <c r="BN8" s="661"/>
      <c r="BO8" s="661"/>
      <c r="BP8" s="661"/>
      <c r="BQ8" s="661"/>
      <c r="BR8" s="661"/>
      <c r="BS8" s="661"/>
      <c r="BT8" s="661"/>
      <c r="BU8" s="661"/>
      <c r="BV8" s="661"/>
      <c r="BW8" s="661"/>
      <c r="BX8" s="661"/>
      <c r="BY8" s="661"/>
      <c r="BZ8" s="661"/>
      <c r="CA8" s="661"/>
      <c r="CB8" s="661"/>
      <c r="CC8" s="661"/>
    </row>
    <row r="9" spans="1:81" ht="15" customHeight="1">
      <c r="A9" s="343"/>
      <c r="B9" s="772" t="s">
        <v>180</v>
      </c>
      <c r="C9" s="772"/>
      <c r="D9" s="705" t="s">
        <v>16</v>
      </c>
      <c r="E9" s="772" t="str">
        <f>IF(G8="","TOTAL TONS PAVED =","TOTAL AREA PAVED =")</f>
        <v>TOTAL TONS PAVED =</v>
      </c>
      <c r="F9" s="772"/>
      <c r="G9" s="701"/>
      <c r="H9" s="344"/>
      <c r="I9" s="322" t="s">
        <v>168</v>
      </c>
      <c r="J9" s="706"/>
      <c r="K9" s="344"/>
      <c r="L9" s="344"/>
      <c r="M9" s="890">
        <f>IF(G8="","","TOTAL TONS PAVED")</f>
      </c>
      <c r="N9" s="891"/>
      <c r="O9" s="391"/>
      <c r="P9" s="396"/>
      <c r="Q9" s="573"/>
      <c r="R9" s="573"/>
      <c r="S9" s="560"/>
      <c r="T9" s="574"/>
      <c r="U9" s="7"/>
      <c r="W9" s="65"/>
      <c r="X9" s="65"/>
      <c r="Y9" s="65"/>
      <c r="Z9" s="65"/>
      <c r="AG9" s="38"/>
      <c r="AH9" s="38"/>
      <c r="AI9" s="38"/>
      <c r="AJ9" s="38"/>
      <c r="AK9" s="38"/>
      <c r="AL9" s="38"/>
      <c r="AM9" s="38"/>
      <c r="AN9" s="38"/>
      <c r="AO9" s="38"/>
      <c r="AP9" s="38"/>
      <c r="AQ9" s="38"/>
      <c r="AR9" s="38"/>
      <c r="AS9" s="38"/>
      <c r="BB9" s="618">
        <v>83.5</v>
      </c>
      <c r="BC9" s="619">
        <v>0.5</v>
      </c>
      <c r="BD9" s="619">
        <v>0.7</v>
      </c>
      <c r="BE9" s="618">
        <v>83.5</v>
      </c>
      <c r="BF9" s="619">
        <v>0.5</v>
      </c>
      <c r="BG9" s="619">
        <v>0.5</v>
      </c>
      <c r="BH9" s="623">
        <f t="shared" si="0"/>
        <v>0.5</v>
      </c>
      <c r="BI9" s="623">
        <f t="shared" si="1"/>
        <v>0.7</v>
      </c>
      <c r="BM9" s="661"/>
      <c r="BN9" s="661"/>
      <c r="BO9" s="661"/>
      <c r="BP9" s="661"/>
      <c r="BQ9" s="661"/>
      <c r="BR9" s="661"/>
      <c r="BS9" s="661"/>
      <c r="BT9" s="661"/>
      <c r="BU9" s="661"/>
      <c r="BV9" s="661"/>
      <c r="BW9" s="661"/>
      <c r="BX9" s="661"/>
      <c r="BY9" s="661"/>
      <c r="BZ9" s="661"/>
      <c r="CA9" s="661"/>
      <c r="CB9" s="661"/>
      <c r="CC9" s="661"/>
    </row>
    <row r="10" spans="1:81" ht="15" customHeight="1">
      <c r="A10" s="343"/>
      <c r="B10" s="772" t="s">
        <v>179</v>
      </c>
      <c r="C10" s="772"/>
      <c r="D10" s="658" t="e">
        <f>+IF(D82&gt;2,D84,D90)</f>
        <v>#N/A</v>
      </c>
      <c r="E10" s="772" t="str">
        <f>IF(G8="","MAX. DENSITY TONS =","MAX. DENSITY AREA =")</f>
        <v>MAX. DENSITY TONS =</v>
      </c>
      <c r="F10" s="772"/>
      <c r="G10" s="701"/>
      <c r="H10" s="358" t="s">
        <v>8</v>
      </c>
      <c r="I10" s="249"/>
      <c r="J10" s="348" t="e">
        <f>IF(J9=0,(IF(AG96=1,VLOOKUP(Q16,$AD$100:$AE$107,2),IF(AG96=2,VLOOKUP(Q16,$AF$100:$AG$107,2)))),J9)</f>
        <v>#N/A</v>
      </c>
      <c r="K10" s="344"/>
      <c r="L10" s="344"/>
      <c r="M10" s="344"/>
      <c r="N10" s="579">
        <v>100</v>
      </c>
      <c r="O10" s="391"/>
      <c r="P10" s="396"/>
      <c r="Q10" s="573"/>
      <c r="R10" s="573"/>
      <c r="S10" s="560"/>
      <c r="T10" s="574"/>
      <c r="U10" s="7"/>
      <c r="W10" s="65"/>
      <c r="X10" s="65"/>
      <c r="Y10" s="65"/>
      <c r="Z10" s="65"/>
      <c r="AG10" s="38"/>
      <c r="AH10" s="38"/>
      <c r="AI10" s="38"/>
      <c r="AJ10" s="38"/>
      <c r="AK10" s="38"/>
      <c r="AL10" s="38"/>
      <c r="AM10" s="38"/>
      <c r="AN10" s="38"/>
      <c r="AO10" s="38"/>
      <c r="AP10" s="38"/>
      <c r="AQ10" s="38"/>
      <c r="AR10" s="38"/>
      <c r="AS10" s="38"/>
      <c r="BB10" s="618">
        <v>83.6</v>
      </c>
      <c r="BC10" s="619">
        <v>0.5</v>
      </c>
      <c r="BD10" s="619">
        <v>0.7</v>
      </c>
      <c r="BE10" s="618">
        <v>83.6</v>
      </c>
      <c r="BF10" s="619">
        <v>0.5</v>
      </c>
      <c r="BG10" s="619">
        <v>0.5</v>
      </c>
      <c r="BH10" s="623">
        <f t="shared" si="0"/>
        <v>0.5</v>
      </c>
      <c r="BI10" s="623">
        <f t="shared" si="1"/>
        <v>0.7</v>
      </c>
      <c r="BM10" s="661"/>
      <c r="BN10" s="661"/>
      <c r="BO10" s="661"/>
      <c r="BP10" s="661">
        <v>0</v>
      </c>
      <c r="BQ10" s="661">
        <f>IF(((BP10=1)*OR(BP11=1)*OR(BP12=1)),1,0)</f>
        <v>0</v>
      </c>
      <c r="BR10" s="661"/>
      <c r="BS10" s="661"/>
      <c r="BT10" s="661"/>
      <c r="BU10" s="661"/>
      <c r="BV10" s="661"/>
      <c r="BW10" s="661"/>
      <c r="BX10" s="661"/>
      <c r="BY10" s="661"/>
      <c r="BZ10" s="661"/>
      <c r="CA10" s="661"/>
      <c r="CB10" s="661"/>
      <c r="CC10" s="661"/>
    </row>
    <row r="11" spans="1:81" ht="15" customHeight="1">
      <c r="A11" s="343"/>
      <c r="B11" s="773" t="s">
        <v>2</v>
      </c>
      <c r="C11" s="773"/>
      <c r="D11" s="707" t="s">
        <v>3</v>
      </c>
      <c r="E11" s="772" t="s">
        <v>126</v>
      </c>
      <c r="F11" s="772"/>
      <c r="G11" s="356" t="e">
        <f>G10/G9</f>
        <v>#DIV/0!</v>
      </c>
      <c r="H11" s="249" t="str">
        <f>IF(G8="","            TONS PER LOT =","    SQ YARDS PER LOT =")</f>
        <v>            TONS PER LOT =</v>
      </c>
      <c r="I11" s="249"/>
      <c r="J11" s="356" t="e">
        <f>G10/J10</f>
        <v>#N/A</v>
      </c>
      <c r="K11" s="344"/>
      <c r="L11" s="344"/>
      <c r="M11" s="344"/>
      <c r="N11" s="344"/>
      <c r="O11" s="391"/>
      <c r="P11" s="396"/>
      <c r="Q11" s="573"/>
      <c r="R11" s="573"/>
      <c r="S11" s="560"/>
      <c r="T11" s="574"/>
      <c r="U11" s="7"/>
      <c r="W11" s="65"/>
      <c r="X11" s="65"/>
      <c r="Y11" s="65"/>
      <c r="Z11" s="65"/>
      <c r="AG11" s="38"/>
      <c r="AH11" s="38"/>
      <c r="AI11" s="38"/>
      <c r="AJ11" s="38"/>
      <c r="AK11" s="38"/>
      <c r="AL11" s="38"/>
      <c r="AM11" s="38"/>
      <c r="AN11" s="38"/>
      <c r="AO11" s="38"/>
      <c r="AP11" s="38"/>
      <c r="AQ11" s="38"/>
      <c r="AR11" s="38"/>
      <c r="AS11" s="38"/>
      <c r="BB11" s="618">
        <v>83.7</v>
      </c>
      <c r="BC11" s="619">
        <v>0.5</v>
      </c>
      <c r="BD11" s="619">
        <v>0.7</v>
      </c>
      <c r="BE11" s="618">
        <v>83.7</v>
      </c>
      <c r="BF11" s="619">
        <v>0.5</v>
      </c>
      <c r="BG11" s="619">
        <v>0.5</v>
      </c>
      <c r="BH11" s="623">
        <f t="shared" si="0"/>
        <v>0.5</v>
      </c>
      <c r="BI11" s="623">
        <f t="shared" si="1"/>
        <v>0.7</v>
      </c>
      <c r="BM11" s="661"/>
      <c r="BN11" s="661"/>
      <c r="BO11" s="661"/>
      <c r="BP11" s="661">
        <v>1</v>
      </c>
      <c r="BQ11" s="661"/>
      <c r="BR11" s="661"/>
      <c r="BS11" s="661"/>
      <c r="BT11" s="661"/>
      <c r="BU11" s="661"/>
      <c r="BV11" s="661"/>
      <c r="BW11" s="661"/>
      <c r="BX11" s="661"/>
      <c r="BY11" s="661"/>
      <c r="BZ11" s="661"/>
      <c r="CA11" s="661"/>
      <c r="CB11" s="661"/>
      <c r="CC11" s="661"/>
    </row>
    <row r="12" spans="1:81" ht="19.5" customHeight="1">
      <c r="A12" s="343"/>
      <c r="B12" s="344"/>
      <c r="C12" s="344"/>
      <c r="D12" s="344"/>
      <c r="E12" s="344"/>
      <c r="F12" s="344"/>
      <c r="G12" s="249"/>
      <c r="H12" s="585">
        <f>IF(G8="","","    Max Density Tons = ")</f>
      </c>
      <c r="I12" s="585"/>
      <c r="J12" s="586">
        <f>IF(G8="","",N10*(G11))</f>
      </c>
      <c r="K12" s="344"/>
      <c r="L12" s="344"/>
      <c r="M12" s="249"/>
      <c r="N12" s="249"/>
      <c r="O12" s="17"/>
      <c r="T12" s="569"/>
      <c r="U12" s="7"/>
      <c r="W12" s="65"/>
      <c r="X12" s="65"/>
      <c r="Y12" s="65"/>
      <c r="Z12" s="65"/>
      <c r="AG12" s="12"/>
      <c r="BB12" s="618">
        <v>83.8</v>
      </c>
      <c r="BC12" s="619">
        <v>0.5</v>
      </c>
      <c r="BD12" s="619">
        <v>0.7</v>
      </c>
      <c r="BE12" s="618">
        <v>83.8</v>
      </c>
      <c r="BF12" s="619">
        <v>0.5</v>
      </c>
      <c r="BG12" s="619">
        <v>0.5</v>
      </c>
      <c r="BH12" s="623">
        <f t="shared" si="0"/>
        <v>0.5</v>
      </c>
      <c r="BI12" s="623">
        <f t="shared" si="1"/>
        <v>0.7</v>
      </c>
      <c r="BM12" s="662"/>
      <c r="BN12" s="662"/>
      <c r="BO12" s="662"/>
      <c r="BP12" s="661">
        <v>1</v>
      </c>
      <c r="BQ12" s="662"/>
      <c r="BR12" s="662"/>
      <c r="BS12" s="662"/>
      <c r="BT12" s="662"/>
      <c r="BU12" s="662"/>
      <c r="BV12" s="662"/>
      <c r="BW12" s="662"/>
      <c r="BX12" s="662"/>
      <c r="BY12" s="662"/>
      <c r="BZ12" s="662"/>
      <c r="CA12" s="662"/>
      <c r="CB12" s="662"/>
      <c r="CC12" s="662"/>
    </row>
    <row r="13" spans="1:81" s="44" customFormat="1" ht="15" customHeight="1">
      <c r="A13" s="352"/>
      <c r="B13" s="779" t="s">
        <v>13</v>
      </c>
      <c r="C13" s="780"/>
      <c r="D13" s="708"/>
      <c r="E13" s="708"/>
      <c r="F13" s="708"/>
      <c r="G13" s="708"/>
      <c r="H13" s="708"/>
      <c r="I13" s="708"/>
      <c r="J13" s="709"/>
      <c r="K13" s="709"/>
      <c r="L13" s="709"/>
      <c r="M13" s="709"/>
      <c r="N13" s="344"/>
      <c r="O13" s="46"/>
      <c r="Q13" s="1" t="s">
        <v>212</v>
      </c>
      <c r="T13" s="575"/>
      <c r="U13" s="395"/>
      <c r="AG13" s="47"/>
      <c r="BB13" s="618">
        <v>83.9</v>
      </c>
      <c r="BC13" s="619">
        <v>0.5</v>
      </c>
      <c r="BD13" s="619">
        <v>0.7</v>
      </c>
      <c r="BE13" s="618">
        <v>83.9</v>
      </c>
      <c r="BF13" s="619">
        <v>0.5</v>
      </c>
      <c r="BG13" s="619">
        <v>0.5</v>
      </c>
      <c r="BH13" s="623">
        <f t="shared" si="0"/>
        <v>0.5</v>
      </c>
      <c r="BI13" s="623">
        <f t="shared" si="1"/>
        <v>0.7</v>
      </c>
      <c r="BM13" s="661"/>
      <c r="BN13" s="661"/>
      <c r="BO13" s="661"/>
      <c r="BP13" s="661"/>
      <c r="BQ13" s="661"/>
      <c r="BR13" s="661"/>
      <c r="BS13" s="661"/>
      <c r="BT13" s="661"/>
      <c r="BU13" s="661"/>
      <c r="BV13" s="661"/>
      <c r="BW13" s="661"/>
      <c r="BX13" s="661"/>
      <c r="BY13" s="661"/>
      <c r="BZ13" s="661"/>
      <c r="CA13" s="661"/>
      <c r="CB13" s="661"/>
      <c r="CC13" s="661"/>
    </row>
    <row r="14" spans="1:81" ht="15" customHeight="1">
      <c r="A14" s="343"/>
      <c r="B14" s="751" t="s">
        <v>114</v>
      </c>
      <c r="C14" s="752"/>
      <c r="D14" s="708"/>
      <c r="E14" s="708"/>
      <c r="F14" s="708"/>
      <c r="G14" s="708"/>
      <c r="H14" s="708"/>
      <c r="I14" s="708"/>
      <c r="J14" s="708"/>
      <c r="K14" s="709"/>
      <c r="L14" s="709"/>
      <c r="M14" s="709"/>
      <c r="N14" s="344"/>
      <c r="O14" s="17"/>
      <c r="Q14" s="1">
        <f>+IF(G8="",G9,N10)</f>
        <v>0</v>
      </c>
      <c r="T14" s="576"/>
      <c r="U14" s="7"/>
      <c r="W14" s="65"/>
      <c r="X14" s="65"/>
      <c r="Y14" s="65"/>
      <c r="Z14" s="65"/>
      <c r="AG14" s="12"/>
      <c r="BB14" s="618">
        <v>84</v>
      </c>
      <c r="BC14" s="619">
        <v>0.5</v>
      </c>
      <c r="BD14" s="619">
        <v>0.85</v>
      </c>
      <c r="BE14" s="618">
        <v>84</v>
      </c>
      <c r="BF14" s="619">
        <v>0.5</v>
      </c>
      <c r="BG14" s="619">
        <v>0.5</v>
      </c>
      <c r="BH14" s="623">
        <f t="shared" si="0"/>
        <v>0.5</v>
      </c>
      <c r="BI14" s="623">
        <f t="shared" si="1"/>
        <v>0.85</v>
      </c>
      <c r="BM14" s="661"/>
      <c r="BN14" s="661"/>
      <c r="BO14" s="661"/>
      <c r="BP14" s="661"/>
      <c r="BQ14" s="661"/>
      <c r="BR14" s="661"/>
      <c r="BS14" s="661"/>
      <c r="BT14" s="661"/>
      <c r="BU14" s="661"/>
      <c r="BV14" s="661"/>
      <c r="BW14" s="661"/>
      <c r="BX14" s="661"/>
      <c r="BY14" s="661"/>
      <c r="BZ14" s="661"/>
      <c r="CA14" s="661"/>
      <c r="CB14" s="661"/>
      <c r="CC14" s="661"/>
    </row>
    <row r="15" spans="1:81" ht="15" customHeight="1">
      <c r="A15" s="343"/>
      <c r="B15" s="779" t="s">
        <v>15</v>
      </c>
      <c r="C15" s="780"/>
      <c r="D15" s="355">
        <f>IF(D14="",0,IF(E14="",$Q$14,E14))</f>
        <v>0</v>
      </c>
      <c r="E15" s="355">
        <f aca="true" t="shared" si="2" ref="E15:J15">IF(E14="",0,IF(F14="",$Q$14-E14,F14-E14))</f>
        <v>0</v>
      </c>
      <c r="F15" s="355">
        <f t="shared" si="2"/>
        <v>0</v>
      </c>
      <c r="G15" s="355">
        <f t="shared" si="2"/>
        <v>0</v>
      </c>
      <c r="H15" s="355">
        <f t="shared" si="2"/>
        <v>0</v>
      </c>
      <c r="I15" s="355">
        <f t="shared" si="2"/>
        <v>0</v>
      </c>
      <c r="J15" s="355">
        <f t="shared" si="2"/>
        <v>0</v>
      </c>
      <c r="K15" s="355">
        <f>IF(K14="",0,IF(M14="",$Q$14-K14,M14-K14))</f>
        <v>0</v>
      </c>
      <c r="L15" s="355">
        <f>IF(L14="",0,IF(N14="",$Q$14-L14,N14-L14))</f>
        <v>0</v>
      </c>
      <c r="M15" s="355">
        <f>IF(M14="",0,$Q$14-M14)</f>
        <v>0</v>
      </c>
      <c r="N15" s="344"/>
      <c r="O15" s="17"/>
      <c r="Q15" s="1" t="s">
        <v>211</v>
      </c>
      <c r="T15" s="576"/>
      <c r="U15" s="7"/>
      <c r="W15" s="65"/>
      <c r="X15" s="65"/>
      <c r="Y15" s="65"/>
      <c r="Z15" s="65"/>
      <c r="BB15" s="618">
        <v>84.1</v>
      </c>
      <c r="BC15" s="619">
        <v>0.5</v>
      </c>
      <c r="BD15" s="619">
        <v>0.85</v>
      </c>
      <c r="BE15" s="618">
        <v>84.1</v>
      </c>
      <c r="BF15" s="619">
        <v>0.5</v>
      </c>
      <c r="BG15" s="619">
        <v>0.5</v>
      </c>
      <c r="BH15" s="623">
        <f t="shared" si="0"/>
        <v>0.5</v>
      </c>
      <c r="BI15" s="623">
        <f t="shared" si="1"/>
        <v>0.85</v>
      </c>
      <c r="BM15" s="661"/>
      <c r="BN15" s="661"/>
      <c r="BO15" s="661"/>
      <c r="BP15" s="661"/>
      <c r="BQ15" s="661"/>
      <c r="BR15" s="661"/>
      <c r="BS15" s="661"/>
      <c r="BT15" s="661"/>
      <c r="BU15" s="661"/>
      <c r="BV15" s="661"/>
      <c r="BW15" s="661"/>
      <c r="BX15" s="661"/>
      <c r="BY15" s="661"/>
      <c r="BZ15" s="661"/>
      <c r="CA15" s="661"/>
      <c r="CB15" s="661"/>
      <c r="CC15" s="661"/>
    </row>
    <row r="16" spans="1:81" ht="15" customHeight="1">
      <c r="A16" s="343"/>
      <c r="B16" s="758" t="s">
        <v>171</v>
      </c>
      <c r="C16" s="759"/>
      <c r="D16" s="357" t="e">
        <f aca="true" t="shared" si="3" ref="D16:M16">IF(D15="",0,D15*$G$11)</f>
        <v>#DIV/0!</v>
      </c>
      <c r="E16" s="357" t="e">
        <f t="shared" si="3"/>
        <v>#DIV/0!</v>
      </c>
      <c r="F16" s="357" t="e">
        <f t="shared" si="3"/>
        <v>#DIV/0!</v>
      </c>
      <c r="G16" s="357" t="e">
        <f t="shared" si="3"/>
        <v>#DIV/0!</v>
      </c>
      <c r="H16" s="357" t="e">
        <f t="shared" si="3"/>
        <v>#DIV/0!</v>
      </c>
      <c r="I16" s="357" t="e">
        <f t="shared" si="3"/>
        <v>#DIV/0!</v>
      </c>
      <c r="J16" s="357" t="e">
        <f t="shared" si="3"/>
        <v>#DIV/0!</v>
      </c>
      <c r="K16" s="357" t="e">
        <f t="shared" si="3"/>
        <v>#DIV/0!</v>
      </c>
      <c r="L16" s="357" t="e">
        <f t="shared" si="3"/>
        <v>#DIV/0!</v>
      </c>
      <c r="M16" s="357" t="e">
        <f t="shared" si="3"/>
        <v>#DIV/0!</v>
      </c>
      <c r="N16" s="344"/>
      <c r="O16" s="17"/>
      <c r="Q16" s="1">
        <f>IF(G8="",G10,N10*G11)</f>
        <v>0</v>
      </c>
      <c r="T16" s="569"/>
      <c r="U16" s="7"/>
      <c r="X16" s="62"/>
      <c r="Y16" s="62"/>
      <c r="AG16" s="12"/>
      <c r="AJ16" s="12"/>
      <c r="AK16" s="12"/>
      <c r="AL16" s="12" t="e">
        <f>IF(AF129&lt;AE129,AF129/4,"")</f>
        <v>#DIV/0!</v>
      </c>
      <c r="BB16" s="618">
        <v>84.2</v>
      </c>
      <c r="BC16" s="619">
        <v>0.5</v>
      </c>
      <c r="BD16" s="619">
        <v>0.85</v>
      </c>
      <c r="BE16" s="618">
        <v>84.2</v>
      </c>
      <c r="BF16" s="619">
        <v>0.5</v>
      </c>
      <c r="BG16" s="619">
        <v>0.5</v>
      </c>
      <c r="BH16" s="623">
        <f t="shared" si="0"/>
        <v>0.5</v>
      </c>
      <c r="BI16" s="623">
        <f t="shared" si="1"/>
        <v>0.85</v>
      </c>
      <c r="BM16" s="661"/>
      <c r="BN16" s="661"/>
      <c r="BO16" s="661"/>
      <c r="BP16" s="661"/>
      <c r="BQ16" s="661" t="s">
        <v>272</v>
      </c>
      <c r="BR16" s="661"/>
      <c r="BS16" s="661"/>
      <c r="BT16" s="661"/>
      <c r="BU16" s="661"/>
      <c r="BV16" s="661"/>
      <c r="BW16" s="661"/>
      <c r="BX16" s="661"/>
      <c r="BY16" s="661"/>
      <c r="BZ16" s="661"/>
      <c r="CA16" s="661"/>
      <c r="CB16" s="661"/>
      <c r="CC16" s="661"/>
    </row>
    <row r="17" spans="1:81" ht="15" customHeight="1">
      <c r="A17" s="343"/>
      <c r="B17" s="751" t="s">
        <v>115</v>
      </c>
      <c r="C17" s="752"/>
      <c r="D17" s="710"/>
      <c r="E17" s="710"/>
      <c r="F17" s="710"/>
      <c r="G17" s="710"/>
      <c r="H17" s="710"/>
      <c r="I17" s="710"/>
      <c r="J17" s="710"/>
      <c r="K17" s="710"/>
      <c r="L17" s="710"/>
      <c r="M17" s="710"/>
      <c r="N17" s="344"/>
      <c r="O17" s="17"/>
      <c r="Q17" s="1" t="s">
        <v>213</v>
      </c>
      <c r="T17" s="569"/>
      <c r="U17" s="7"/>
      <c r="X17" s="62"/>
      <c r="Y17" s="62"/>
      <c r="AG17" s="12"/>
      <c r="AJ17" s="12"/>
      <c r="AK17" s="12"/>
      <c r="BB17" s="618">
        <v>84.3</v>
      </c>
      <c r="BC17" s="619">
        <v>0.5</v>
      </c>
      <c r="BD17" s="619">
        <v>0.85</v>
      </c>
      <c r="BE17" s="618">
        <v>84.3</v>
      </c>
      <c r="BF17" s="619">
        <v>0.5</v>
      </c>
      <c r="BG17" s="619">
        <v>0.5</v>
      </c>
      <c r="BH17" s="623">
        <f t="shared" si="0"/>
        <v>0.5</v>
      </c>
      <c r="BI17" s="623">
        <f t="shared" si="1"/>
        <v>0.85</v>
      </c>
      <c r="BM17" s="661"/>
      <c r="BN17" s="661"/>
      <c r="BO17" s="661"/>
      <c r="BP17" s="661"/>
      <c r="BQ17" s="661" t="s">
        <v>273</v>
      </c>
      <c r="BR17" s="661"/>
      <c r="BS17" s="661"/>
      <c r="BT17" s="661"/>
      <c r="BU17" s="661"/>
      <c r="BV17" s="661"/>
      <c r="BW17" s="661"/>
      <c r="BX17" s="661"/>
      <c r="BY17" s="661"/>
      <c r="BZ17" s="661"/>
      <c r="CA17" s="661"/>
      <c r="CB17" s="661"/>
      <c r="CC17" s="661"/>
    </row>
    <row r="18" spans="1:81" ht="15" customHeight="1">
      <c r="A18" s="343"/>
      <c r="B18" s="751" t="s">
        <v>249</v>
      </c>
      <c r="C18" s="752"/>
      <c r="D18" s="711"/>
      <c r="E18" s="711"/>
      <c r="F18" s="711"/>
      <c r="G18" s="711"/>
      <c r="H18" s="711"/>
      <c r="I18" s="711"/>
      <c r="J18" s="711"/>
      <c r="K18" s="711"/>
      <c r="L18" s="711"/>
      <c r="M18" s="711"/>
      <c r="N18" s="344"/>
      <c r="O18" s="17"/>
      <c r="T18" s="569"/>
      <c r="U18" s="7"/>
      <c r="X18" s="62"/>
      <c r="Y18" s="62"/>
      <c r="AG18" s="12"/>
      <c r="AJ18" s="12"/>
      <c r="AK18" s="12"/>
      <c r="BB18" s="618">
        <v>84.4</v>
      </c>
      <c r="BC18" s="619">
        <v>0.5</v>
      </c>
      <c r="BD18" s="619">
        <v>0.85</v>
      </c>
      <c r="BE18" s="618">
        <v>84.4</v>
      </c>
      <c r="BF18" s="619">
        <v>0.5</v>
      </c>
      <c r="BG18" s="619">
        <v>0.5</v>
      </c>
      <c r="BH18" s="623">
        <f t="shared" si="0"/>
        <v>0.5</v>
      </c>
      <c r="BI18" s="623">
        <f t="shared" si="1"/>
        <v>0.85</v>
      </c>
      <c r="BM18" s="661"/>
      <c r="BN18" s="661"/>
      <c r="BO18" s="661"/>
      <c r="BP18" s="661" t="s">
        <v>276</v>
      </c>
      <c r="BQ18" s="661"/>
      <c r="BR18" s="661" t="s">
        <v>283</v>
      </c>
      <c r="BS18" s="661" t="s">
        <v>288</v>
      </c>
      <c r="BT18" s="661" t="s">
        <v>292</v>
      </c>
      <c r="BU18" s="661"/>
      <c r="BV18" s="661"/>
      <c r="BW18" s="661"/>
      <c r="BX18" s="661"/>
      <c r="BY18" s="661"/>
      <c r="BZ18" s="661"/>
      <c r="CA18" s="661"/>
      <c r="CB18" s="661"/>
      <c r="CC18" s="661"/>
    </row>
    <row r="19" spans="1:81" ht="15" customHeight="1">
      <c r="A19" s="343"/>
      <c r="B19" s="751" t="s">
        <v>250</v>
      </c>
      <c r="C19" s="752"/>
      <c r="D19" s="711"/>
      <c r="E19" s="711"/>
      <c r="F19" s="711"/>
      <c r="G19" s="711"/>
      <c r="H19" s="711"/>
      <c r="I19" s="711"/>
      <c r="J19" s="711"/>
      <c r="K19" s="711"/>
      <c r="L19" s="711"/>
      <c r="M19" s="711"/>
      <c r="N19" s="344"/>
      <c r="O19" s="17"/>
      <c r="T19" s="569"/>
      <c r="U19" s="7"/>
      <c r="X19" s="62"/>
      <c r="Y19" s="62"/>
      <c r="AG19" s="12"/>
      <c r="AJ19" s="12"/>
      <c r="AK19" s="12"/>
      <c r="BB19" s="618">
        <v>84.5</v>
      </c>
      <c r="BC19" s="619">
        <v>0.5</v>
      </c>
      <c r="BD19" s="619">
        <v>0.91</v>
      </c>
      <c r="BE19" s="618">
        <v>84.5</v>
      </c>
      <c r="BF19" s="619">
        <v>0.5</v>
      </c>
      <c r="BG19" s="619">
        <v>0.7</v>
      </c>
      <c r="BH19" s="623">
        <f t="shared" si="0"/>
        <v>0.5</v>
      </c>
      <c r="BI19" s="623">
        <f t="shared" si="1"/>
        <v>0.91</v>
      </c>
      <c r="BM19" s="661"/>
      <c r="BN19" s="661"/>
      <c r="BO19" s="661"/>
      <c r="BP19" s="661" t="s">
        <v>277</v>
      </c>
      <c r="BQ19" s="661" t="s">
        <v>281</v>
      </c>
      <c r="BR19" s="661" t="s">
        <v>284</v>
      </c>
      <c r="BS19" s="661" t="s">
        <v>289</v>
      </c>
      <c r="BT19" s="661" t="s">
        <v>293</v>
      </c>
      <c r="BU19" s="661"/>
      <c r="BV19" s="661"/>
      <c r="BW19" s="661"/>
      <c r="BX19" s="661"/>
      <c r="BY19" s="661"/>
      <c r="BZ19" s="661"/>
      <c r="CA19" s="661"/>
      <c r="CB19" s="661"/>
      <c r="CC19" s="661"/>
    </row>
    <row r="20" spans="1:81" ht="14.25" customHeight="1">
      <c r="A20" s="343"/>
      <c r="B20" s="344"/>
      <c r="C20" s="344"/>
      <c r="D20" s="772" t="s">
        <v>10</v>
      </c>
      <c r="E20" s="772"/>
      <c r="F20" s="280">
        <f>I20+0.5</f>
        <v>4</v>
      </c>
      <c r="G20" s="772" t="s">
        <v>7</v>
      </c>
      <c r="H20" s="772"/>
      <c r="I20" s="280">
        <f>VLOOKUP($D$9,$AD$77:$AH$88,2)</f>
        <v>3.5</v>
      </c>
      <c r="J20" s="280"/>
      <c r="K20" s="772" t="s">
        <v>5</v>
      </c>
      <c r="L20" s="772"/>
      <c r="M20" s="772"/>
      <c r="N20" s="280">
        <f>VLOOKUP(D9,$AD$77:$AH$88,3)</f>
        <v>92</v>
      </c>
      <c r="O20" s="346"/>
      <c r="P20" s="569"/>
      <c r="Q20" s="1" t="e">
        <f>+IF(J9="",Q16/J10,Q16/J9)</f>
        <v>#N/A</v>
      </c>
      <c r="T20" s="569"/>
      <c r="U20" s="7"/>
      <c r="BB20" s="618">
        <v>84.6</v>
      </c>
      <c r="BC20" s="619">
        <v>0.5</v>
      </c>
      <c r="BD20" s="619">
        <v>0.91</v>
      </c>
      <c r="BE20" s="618">
        <v>84.6</v>
      </c>
      <c r="BF20" s="619">
        <v>0.5</v>
      </c>
      <c r="BG20" s="619">
        <v>0.7</v>
      </c>
      <c r="BH20" s="623">
        <f t="shared" si="0"/>
        <v>0.5</v>
      </c>
      <c r="BI20" s="623">
        <f t="shared" si="1"/>
        <v>0.91</v>
      </c>
      <c r="BM20" s="661"/>
      <c r="BN20" s="661"/>
      <c r="BO20" s="661" t="s">
        <v>266</v>
      </c>
      <c r="BP20" s="661" t="s">
        <v>278</v>
      </c>
      <c r="BQ20" s="661" t="s">
        <v>282</v>
      </c>
      <c r="BR20" s="661" t="s">
        <v>285</v>
      </c>
      <c r="BS20" s="661" t="s">
        <v>287</v>
      </c>
      <c r="BT20" s="661" t="s">
        <v>294</v>
      </c>
      <c r="BU20" s="661" t="s">
        <v>296</v>
      </c>
      <c r="BV20" s="661"/>
      <c r="BW20" s="661"/>
      <c r="BX20" s="661"/>
      <c r="BY20" s="661"/>
      <c r="BZ20" s="661"/>
      <c r="CA20" s="661"/>
      <c r="CB20" s="661"/>
      <c r="CC20" s="661"/>
    </row>
    <row r="21" spans="1:81" ht="14.25" customHeight="1">
      <c r="A21" s="343"/>
      <c r="B21" s="344"/>
      <c r="C21" s="344"/>
      <c r="D21" s="335" t="s">
        <v>130</v>
      </c>
      <c r="E21" s="335" t="s">
        <v>170</v>
      </c>
      <c r="F21" s="335" t="s">
        <v>17</v>
      </c>
      <c r="G21" s="335" t="s">
        <v>18</v>
      </c>
      <c r="H21" s="335" t="s">
        <v>19</v>
      </c>
      <c r="I21" s="335" t="s">
        <v>20</v>
      </c>
      <c r="J21" s="335" t="s">
        <v>229</v>
      </c>
      <c r="K21" s="335" t="s">
        <v>371</v>
      </c>
      <c r="L21" s="335" t="s">
        <v>372</v>
      </c>
      <c r="M21" s="772" t="s">
        <v>22</v>
      </c>
      <c r="N21" s="772"/>
      <c r="O21" s="346"/>
      <c r="Q21" s="1" t="s">
        <v>215</v>
      </c>
      <c r="T21" s="7"/>
      <c r="U21" s="7"/>
      <c r="Y21" s="23"/>
      <c r="AG21" s="12"/>
      <c r="BB21" s="618"/>
      <c r="BC21" s="619"/>
      <c r="BD21" s="619"/>
      <c r="BE21" s="618"/>
      <c r="BF21" s="619"/>
      <c r="BG21" s="619"/>
      <c r="BH21" s="623">
        <f t="shared" si="0"/>
        <v>0</v>
      </c>
      <c r="BI21" s="623">
        <f t="shared" si="1"/>
        <v>0</v>
      </c>
      <c r="BM21" s="661"/>
      <c r="BN21" s="661"/>
      <c r="BO21" s="661" t="s">
        <v>267</v>
      </c>
      <c r="BP21" s="661" t="s">
        <v>279</v>
      </c>
      <c r="BQ21" s="661" t="s">
        <v>275</v>
      </c>
      <c r="BR21" s="661" t="s">
        <v>286</v>
      </c>
      <c r="BS21" s="661"/>
      <c r="BT21" s="661" t="s">
        <v>295</v>
      </c>
      <c r="BU21" s="661" t="s">
        <v>297</v>
      </c>
      <c r="BV21" s="661"/>
      <c r="BW21" s="661"/>
      <c r="BX21" s="661"/>
      <c r="BY21" s="661"/>
      <c r="BZ21" s="661"/>
      <c r="CA21" s="661"/>
      <c r="CB21" s="661"/>
      <c r="CC21" s="661"/>
    </row>
    <row r="22" spans="1:81" ht="14.25" customHeight="1" thickBot="1">
      <c r="A22" s="372"/>
      <c r="B22" s="336" t="s">
        <v>23</v>
      </c>
      <c r="C22" s="336" t="s">
        <v>24</v>
      </c>
      <c r="D22" s="336" t="s">
        <v>131</v>
      </c>
      <c r="E22" s="360" t="s">
        <v>25</v>
      </c>
      <c r="F22" s="336" t="s">
        <v>26</v>
      </c>
      <c r="G22" s="336" t="s">
        <v>27</v>
      </c>
      <c r="H22" s="336" t="s">
        <v>28</v>
      </c>
      <c r="I22" s="361" t="s">
        <v>29</v>
      </c>
      <c r="J22" s="361" t="s">
        <v>228</v>
      </c>
      <c r="K22" s="336" t="s">
        <v>238</v>
      </c>
      <c r="L22" s="336" t="s">
        <v>238</v>
      </c>
      <c r="M22" s="783" t="s">
        <v>31</v>
      </c>
      <c r="N22" s="783"/>
      <c r="O22" s="393"/>
      <c r="Q22" s="536">
        <f>+IF(G8="",D8,D8*G9/N10)</f>
        <v>0</v>
      </c>
      <c r="T22" s="7"/>
      <c r="U22" s="7"/>
      <c r="X22" s="62"/>
      <c r="Y22" s="23"/>
      <c r="BB22" s="618"/>
      <c r="BC22" s="619"/>
      <c r="BD22" s="619"/>
      <c r="BE22" s="618"/>
      <c r="BF22" s="619"/>
      <c r="BG22" s="619"/>
      <c r="BH22" s="623">
        <f t="shared" si="0"/>
        <v>0</v>
      </c>
      <c r="BI22" s="623">
        <f t="shared" si="1"/>
        <v>0</v>
      </c>
      <c r="BM22" s="661" t="s">
        <v>269</v>
      </c>
      <c r="BN22" s="661"/>
      <c r="BO22" s="661" t="s">
        <v>268</v>
      </c>
      <c r="BP22" s="661" t="s">
        <v>280</v>
      </c>
      <c r="BQ22" s="661" t="s">
        <v>274</v>
      </c>
      <c r="BR22" s="661" t="s">
        <v>287</v>
      </c>
      <c r="BS22" s="661"/>
      <c r="BT22" s="661"/>
      <c r="BU22" s="661"/>
      <c r="BV22" s="661"/>
      <c r="BW22" s="661"/>
      <c r="BX22" s="661"/>
      <c r="BY22" s="661"/>
      <c r="BZ22" s="661"/>
      <c r="CA22" s="661"/>
      <c r="CB22" s="661"/>
      <c r="CC22" s="661"/>
    </row>
    <row r="23" spans="1:81" ht="15" customHeight="1" thickTop="1">
      <c r="A23" s="343"/>
      <c r="B23" s="712"/>
      <c r="C23" s="348">
        <f>B23+0.1</f>
        <v>0.1</v>
      </c>
      <c r="D23" s="713"/>
      <c r="E23" s="714"/>
      <c r="F23" s="281">
        <f>IF(E23="","",BT23)</f>
      </c>
      <c r="G23" s="362">
        <f>IF(E23="","",mndot_rounding_1((F26/$D$10)*100))</f>
      </c>
      <c r="H23" s="280">
        <f>IF(E23="","",AR93)</f>
      </c>
      <c r="I23" s="280">
        <f aca="true" t="shared" si="4" ref="I23:I45">IF(H23="","",AS93)</f>
      </c>
      <c r="J23" s="280">
        <f aca="true" t="shared" si="5" ref="J23:J45">IF($G$8="","",IF(I23="","",(I23*($G$9/$N$10))))</f>
      </c>
      <c r="K23" s="687" t="str">
        <f>IF(H23=""," ",IF(AV93="SEE SPEC","SEE SPEC",IF(AV93="low voids","low voids",AV93+1)))</f>
        <v> </v>
      </c>
      <c r="L23" s="687">
        <f>G101</f>
      </c>
      <c r="M23" s="762">
        <f>IF(H23="","",IF($D$8="","BID $$ ??",AU93))</f>
      </c>
      <c r="N23" s="762"/>
      <c r="O23" s="346"/>
      <c r="P23" s="637" t="e">
        <f>+IF($I$52=B23,$N$52,IF($I$48=B23,$N$48,1))</f>
        <v>#N/A</v>
      </c>
      <c r="T23" s="7"/>
      <c r="U23" s="7"/>
      <c r="X23" s="133"/>
      <c r="Y23" s="18"/>
      <c r="BB23" s="618">
        <v>84.7</v>
      </c>
      <c r="BC23" s="619">
        <v>0.5</v>
      </c>
      <c r="BD23" s="619">
        <v>0.91</v>
      </c>
      <c r="BE23" s="618">
        <v>84.7</v>
      </c>
      <c r="BF23" s="619">
        <v>0.5</v>
      </c>
      <c r="BG23" s="619">
        <v>0.7</v>
      </c>
      <c r="BH23" s="623">
        <f t="shared" si="0"/>
        <v>0.5</v>
      </c>
      <c r="BI23" s="623">
        <f t="shared" si="1"/>
        <v>0.91</v>
      </c>
      <c r="BM23" s="665">
        <f>+$B$23</f>
        <v>0</v>
      </c>
      <c r="BN23" s="661" t="s">
        <v>270</v>
      </c>
      <c r="BO23" s="665">
        <f>+E23</f>
        <v>0</v>
      </c>
      <c r="BP23" s="663">
        <f>IF(((BO23&gt;1.5)*AND(BO23&lt;3))*AND((BO25&gt;1.5)*AND(BO25&lt;3)),1,0)</f>
        <v>0</v>
      </c>
      <c r="BQ23" s="663">
        <f>IF((AND((BP23=1),(OR(((BO23-BO25)&gt;0.03),((BO25-BO23)&gt;0.03))))),0,1)</f>
        <v>1</v>
      </c>
      <c r="BR23" s="661">
        <f>IF(B23="","",(IF(((BO23&gt;1.5)*AND(BO23&lt;3))*(((BQ23=1)*AND(BP23=1))),BO23,"")))</f>
      </c>
      <c r="BS23" s="661"/>
      <c r="BT23" s="661">
        <f>IF(B23="","",(IF(BQ23=0,BO25,(IF((AND((BR$61=1),(BP23))),BO25,BO23)))))</f>
      </c>
      <c r="BU23" s="661">
        <f>IF(AND(BP23,((NOT(BO23=BT23)))),1,0)</f>
        <v>0</v>
      </c>
      <c r="BV23" s="661"/>
      <c r="BW23" s="661"/>
      <c r="BX23" s="661"/>
      <c r="BY23" s="661"/>
      <c r="BZ23" s="661"/>
      <c r="CA23" s="661"/>
      <c r="CB23" s="661"/>
      <c r="CC23" s="661"/>
    </row>
    <row r="24" spans="1:81" s="65" customFormat="1" ht="15" customHeight="1">
      <c r="A24" s="343"/>
      <c r="B24" s="348"/>
      <c r="C24" s="348">
        <f>B23+0.2</f>
        <v>0.2</v>
      </c>
      <c r="D24" s="713"/>
      <c r="E24" s="714"/>
      <c r="F24" s="281">
        <f>IF(E24="","",BT24)</f>
      </c>
      <c r="G24" s="348"/>
      <c r="H24" s="280">
        <f>IF(E24="","",AR94)</f>
      </c>
      <c r="I24" s="280">
        <f t="shared" si="4"/>
      </c>
      <c r="J24" s="280">
        <f t="shared" si="5"/>
      </c>
      <c r="K24" s="687" t="str">
        <f aca="true" t="shared" si="6" ref="K24:K46">IF(H24=""," ",IF(AV94="SEE SPEC","SEE SPEC",IF(AV94="low voids","low voids",AV94+1)))</f>
        <v> </v>
      </c>
      <c r="L24" s="687">
        <f>G102</f>
      </c>
      <c r="M24" s="762">
        <f>IF(H24="","",IF($D$8="","BID $$ ??",AU94))</f>
      </c>
      <c r="N24" s="762"/>
      <c r="O24" s="346"/>
      <c r="P24" s="637" t="e">
        <f>+IF($I$52=B23,$N$52,IF($I$48=B23,$N$48,1))</f>
        <v>#N/A</v>
      </c>
      <c r="Q24" s="65">
        <f>IF(G8="",0,1)</f>
        <v>0</v>
      </c>
      <c r="X24" s="62"/>
      <c r="Y24" s="18"/>
      <c r="BB24" s="618">
        <v>84.8</v>
      </c>
      <c r="BC24" s="619">
        <v>0.5</v>
      </c>
      <c r="BD24" s="619">
        <v>0.91</v>
      </c>
      <c r="BE24" s="618">
        <v>84.8</v>
      </c>
      <c r="BF24" s="619">
        <v>0.5</v>
      </c>
      <c r="BG24" s="619">
        <v>0.7</v>
      </c>
      <c r="BH24" s="623">
        <f t="shared" si="0"/>
        <v>0.5</v>
      </c>
      <c r="BI24" s="623">
        <f t="shared" si="1"/>
        <v>0.91</v>
      </c>
      <c r="BM24" s="665">
        <f>+$B$23</f>
        <v>0</v>
      </c>
      <c r="BN24" s="661" t="s">
        <v>270</v>
      </c>
      <c r="BO24" s="665">
        <f>E24</f>
        <v>0</v>
      </c>
      <c r="BP24" s="663">
        <f>IF(((BO24&gt;1.5)*AND(BO24&lt;3))*AND((BO26&gt;1.5)*AND(BO26&lt;3)),1,0)</f>
        <v>0</v>
      </c>
      <c r="BQ24" s="663">
        <f>IF((AND((BP24=1),(OR(((BO24-BO26)&gt;0.03),((BO26-BO24)&gt;0.03))))),0,1)</f>
        <v>1</v>
      </c>
      <c r="BR24" s="661">
        <f>IF(B23="","",(IF(((BO24&gt;1.5)*AND(BO24&lt;3))*(((BQ24=1)*AND(BP24=1))),BO24,"")))</f>
      </c>
      <c r="BS24" s="663"/>
      <c r="BT24" s="661">
        <f>IF(B23="","",(IF(BQ24=0,BO26,(IF((AND((BR$61=1),(BP24))),BO26,BO24)))))</f>
      </c>
      <c r="BU24" s="661">
        <f>IF(AND(BP24,((NOT(BO24=BT24)))),1,0)</f>
        <v>0</v>
      </c>
      <c r="BV24" s="663"/>
      <c r="BW24" s="663"/>
      <c r="BX24" s="663"/>
      <c r="BY24" s="663"/>
      <c r="BZ24" s="663"/>
      <c r="CA24" s="663"/>
      <c r="CB24" s="663"/>
      <c r="CC24" s="663"/>
    </row>
    <row r="25" spans="1:81" s="65" customFormat="1" ht="15" customHeight="1">
      <c r="A25" s="343"/>
      <c r="B25" s="337" t="s">
        <v>32</v>
      </c>
      <c r="C25" s="676">
        <f>IF(B23="","",(CONCATENATE(TEXT(B23+0.1,"0.0"),"C")))</f>
      </c>
      <c r="D25" s="713"/>
      <c r="E25" s="714"/>
      <c r="F25" s="366">
        <f>IF(OR(BU23,BU24),"COMP. CORE USED","")</f>
      </c>
      <c r="G25" s="348"/>
      <c r="H25" s="280">
        <f>IF(E24="","",AR95)</f>
      </c>
      <c r="I25" s="280">
        <f t="shared" si="4"/>
      </c>
      <c r="J25" s="280">
        <f t="shared" si="5"/>
      </c>
      <c r="K25" s="687" t="str">
        <f t="shared" si="6"/>
        <v> </v>
      </c>
      <c r="L25" s="687"/>
      <c r="M25" s="762">
        <f>IF(H25="","",IF($D$8="","BID $$ ??",AU95))</f>
      </c>
      <c r="N25" s="762"/>
      <c r="O25" s="346"/>
      <c r="P25" s="637" t="e">
        <f>+IF($I$52=B23,$N$52,IF($I$48=B23,$N$48,1))</f>
        <v>#N/A</v>
      </c>
      <c r="X25" s="62"/>
      <c r="Y25" s="18"/>
      <c r="AG25" s="50"/>
      <c r="BB25" s="618">
        <v>84.89999999999995</v>
      </c>
      <c r="BC25" s="619">
        <v>0.5</v>
      </c>
      <c r="BD25" s="619">
        <v>0.91</v>
      </c>
      <c r="BE25" s="618">
        <v>84.89999999999995</v>
      </c>
      <c r="BF25" s="619">
        <v>0.5</v>
      </c>
      <c r="BG25" s="619">
        <v>0.7</v>
      </c>
      <c r="BH25" s="623">
        <f t="shared" si="0"/>
        <v>0.5</v>
      </c>
      <c r="BI25" s="623">
        <f t="shared" si="1"/>
        <v>0.91</v>
      </c>
      <c r="BM25" s="665">
        <f>+$B$23</f>
        <v>0</v>
      </c>
      <c r="BN25" s="663" t="s">
        <v>271</v>
      </c>
      <c r="BO25" s="665">
        <f>IF(E25="",0,(E25))</f>
        <v>0</v>
      </c>
      <c r="BP25" s="663">
        <f>IF(((BO23&gt;1.5)*AND(BO23&lt;3))*AND((BO25&gt;1.5)*AND(BO25&lt;3)),1,0)</f>
        <v>0</v>
      </c>
      <c r="BQ25" s="663">
        <f>IF((AND((BP23=1),(OR(((BO23-BO25)&gt;0.03),((BO25-BO23)&gt;0.03))))),0,1)</f>
        <v>1</v>
      </c>
      <c r="BR25" s="661"/>
      <c r="BS25" s="663">
        <f>IF(((BR23&gt;1.5)*AND(BR23&lt;3))*AND((BO25&gt;1.5)*AND(BO25&lt;3)),BO25,"")</f>
      </c>
      <c r="BT25" s="663"/>
      <c r="BU25" s="663"/>
      <c r="BV25" s="663"/>
      <c r="BW25" s="663"/>
      <c r="BX25" s="663"/>
      <c r="BY25" s="663"/>
      <c r="BZ25" s="663"/>
      <c r="CA25" s="663"/>
      <c r="CB25" s="663"/>
      <c r="CC25" s="663"/>
    </row>
    <row r="26" spans="1:81" ht="15" customHeight="1" thickBot="1">
      <c r="A26" s="740"/>
      <c r="B26" s="368"/>
      <c r="C26" s="674">
        <f>IF(B23="","",(CONCATENATE(TEXT(B23+0.2,"0.0"),"C")))</f>
      </c>
      <c r="D26" s="715"/>
      <c r="E26" s="716"/>
      <c r="F26" s="283">
        <f>IF(E23="","",mndot_rounding_3((F23+F24)/2))</f>
      </c>
      <c r="G26" s="360">
        <f>IF(B23="","","= Ave.Gmb.")</f>
      </c>
      <c r="H26" s="282">
        <f>IF(E24="","",AR96)</f>
      </c>
      <c r="I26" s="282">
        <f t="shared" si="4"/>
      </c>
      <c r="J26" s="282">
        <f t="shared" si="5"/>
      </c>
      <c r="K26" s="687" t="str">
        <f t="shared" si="6"/>
        <v> </v>
      </c>
      <c r="L26" s="688"/>
      <c r="M26" s="760">
        <f>IF(H26="","",IF($D$8="","BID $$ ??",AU96))</f>
      </c>
      <c r="N26" s="760"/>
      <c r="O26" s="393"/>
      <c r="P26" s="637" t="e">
        <f>+IF($I$52=B23,$N$52,IF($I$48=B23,$N$48,1))</f>
        <v>#N/A</v>
      </c>
      <c r="X26" s="62"/>
      <c r="Y26" s="70"/>
      <c r="AG26" s="7"/>
      <c r="BB26" s="618">
        <v>84.99999999999994</v>
      </c>
      <c r="BC26" s="619">
        <v>0.5</v>
      </c>
      <c r="BD26" s="619">
        <v>0.95</v>
      </c>
      <c r="BE26" s="618">
        <v>84.99999999999994</v>
      </c>
      <c r="BF26" s="619">
        <v>0.5</v>
      </c>
      <c r="BG26" s="619">
        <v>0.85</v>
      </c>
      <c r="BH26" s="623">
        <f t="shared" si="0"/>
        <v>0.5</v>
      </c>
      <c r="BI26" s="623">
        <f t="shared" si="1"/>
        <v>0.95</v>
      </c>
      <c r="BM26" s="665">
        <f>+$B$23</f>
        <v>0</v>
      </c>
      <c r="BN26" s="663" t="s">
        <v>271</v>
      </c>
      <c r="BO26" s="665">
        <f>IF(E26="",0,(E26))</f>
        <v>0</v>
      </c>
      <c r="BP26" s="663">
        <f>IF(((BO24&gt;1.5)*AND(BO24&lt;3))*AND((BO26&gt;1.5)*AND(BO26&lt;3)),1,0)</f>
        <v>0</v>
      </c>
      <c r="BQ26" s="663">
        <f>IF((AND((BP24=1),(OR(((BO24-BO26)&gt;0.03),((BO26-BO24)&gt;0.03))))),0,1)</f>
        <v>1</v>
      </c>
      <c r="BR26" s="661"/>
      <c r="BS26" s="663">
        <f>IF(((BR24&gt;1.5)*AND(BR24&lt;3))*AND((BO26&gt;1.5)*AND(BO26&lt;3)),BO26,"")</f>
      </c>
      <c r="BT26" s="661"/>
      <c r="BU26" s="661"/>
      <c r="BV26" s="661"/>
      <c r="BW26" s="661"/>
      <c r="BX26" s="661"/>
      <c r="BY26" s="661"/>
      <c r="BZ26" s="661"/>
      <c r="CA26" s="661"/>
      <c r="CB26" s="661"/>
      <c r="CC26" s="661"/>
    </row>
    <row r="27" spans="1:81" ht="15" customHeight="1" thickTop="1">
      <c r="A27" s="343"/>
      <c r="B27" s="348" t="e">
        <f>IF(J10&lt;2,"",B23+1)</f>
        <v>#N/A</v>
      </c>
      <c r="C27" s="348" t="e">
        <f>IF(B27="","",B27+0.1)</f>
        <v>#N/A</v>
      </c>
      <c r="D27" s="713"/>
      <c r="E27" s="714"/>
      <c r="F27" s="281">
        <f>IF(E27="","",BT27)</f>
      </c>
      <c r="G27" s="362">
        <f>IF(E27="","",mndot_rounding_1((F30/$D$10)*100))</f>
      </c>
      <c r="H27" s="280">
        <f>IF(E27="","",AR97)</f>
      </c>
      <c r="I27" s="280">
        <f t="shared" si="4"/>
      </c>
      <c r="J27" s="280">
        <f t="shared" si="5"/>
      </c>
      <c r="K27" s="735" t="str">
        <f t="shared" si="6"/>
        <v> </v>
      </c>
      <c r="L27" s="687">
        <f>G105</f>
      </c>
      <c r="M27" s="889" t="e">
        <f>IF($J$10&lt;2,"",(IF(H27="","",IF($D$8="","BID $$ ??",AU97))))</f>
        <v>#N/A</v>
      </c>
      <c r="N27" s="889"/>
      <c r="O27" s="346"/>
      <c r="P27" s="637" t="e">
        <f>+IF($I$52=B27,$N$52,IF($I$48=B27,$N$48,1))</f>
        <v>#N/A</v>
      </c>
      <c r="X27" s="133"/>
      <c r="Y27" s="70"/>
      <c r="AG27" s="7"/>
      <c r="BB27" s="618">
        <v>85.09999999999994</v>
      </c>
      <c r="BC27" s="619">
        <v>0.5</v>
      </c>
      <c r="BD27" s="619">
        <v>0.95</v>
      </c>
      <c r="BE27" s="618">
        <v>85.09999999999994</v>
      </c>
      <c r="BF27" s="619">
        <v>0.5</v>
      </c>
      <c r="BG27" s="619">
        <v>0.85</v>
      </c>
      <c r="BH27" s="623">
        <f t="shared" si="0"/>
        <v>0.5</v>
      </c>
      <c r="BI27" s="623">
        <f t="shared" si="1"/>
        <v>0.95</v>
      </c>
      <c r="BM27" s="665">
        <f>+BM23+1</f>
        <v>1</v>
      </c>
      <c r="BN27" s="661" t="s">
        <v>270</v>
      </c>
      <c r="BO27" s="665">
        <f>+E27</f>
        <v>0</v>
      </c>
      <c r="BP27" s="663">
        <f>IF(((BO27&gt;1.5)*AND(BO27&lt;3))*AND((BO29&gt;1.5)*AND(BO27&lt;3)),1,0)</f>
        <v>0</v>
      </c>
      <c r="BQ27" s="663">
        <f>IF((AND((BP27=1),(OR(((BO27-BO29)&gt;0.03),((BO29-BO27)&gt;0.03))))),0,1)</f>
        <v>1</v>
      </c>
      <c r="BR27" s="661" t="e">
        <f>IF(B27="","",(IF(((BO27&gt;1.5)*AND(BO27&lt;3))*(((BQ27=1)*AND(BP27=1))),BO27,"")))</f>
        <v>#N/A</v>
      </c>
      <c r="BS27" s="661"/>
      <c r="BT27" s="661" t="e">
        <f>IF(B27="","",(IF(BQ27=0,BO29,(IF((AND((BR$61=1),(BP27))),BO29,BO27)))))</f>
        <v>#N/A</v>
      </c>
      <c r="BU27" s="661" t="e">
        <f>IF(AND(BP27,((NOT(BO27=BT27)))),1,0)</f>
        <v>#N/A</v>
      </c>
      <c r="BV27" s="661"/>
      <c r="BW27" s="661"/>
      <c r="BX27" s="661"/>
      <c r="BY27" s="661"/>
      <c r="BZ27" s="661"/>
      <c r="CA27" s="661"/>
      <c r="CB27" s="661"/>
      <c r="CC27" s="661"/>
    </row>
    <row r="28" spans="1:81" ht="15" customHeight="1">
      <c r="A28" s="343"/>
      <c r="B28" s="348"/>
      <c r="C28" s="348" t="e">
        <f>IF(B27="","",B27+0.2)</f>
        <v>#N/A</v>
      </c>
      <c r="D28" s="713"/>
      <c r="E28" s="714"/>
      <c r="F28" s="281">
        <f>IF(E28="","",BT28)</f>
      </c>
      <c r="G28" s="344"/>
      <c r="H28" s="280">
        <f>IF(E28="","",AR98)</f>
      </c>
      <c r="I28" s="280">
        <f t="shared" si="4"/>
      </c>
      <c r="J28" s="280">
        <f t="shared" si="5"/>
      </c>
      <c r="K28" s="687" t="str">
        <f t="shared" si="6"/>
        <v> </v>
      </c>
      <c r="L28" s="687">
        <f>G106</f>
      </c>
      <c r="M28" s="762" t="e">
        <f>IF($J$10&lt;2,"",(IF(H28="","",IF($D$8="","BID $$ ??",AU98))))</f>
        <v>#N/A</v>
      </c>
      <c r="N28" s="762"/>
      <c r="O28" s="346"/>
      <c r="P28" s="637" t="e">
        <f>+IF($I$52=B27,$N$52,IF($I$48=B27,$N$48,1))</f>
        <v>#N/A</v>
      </c>
      <c r="X28" s="133"/>
      <c r="Y28" s="70"/>
      <c r="BB28" s="618">
        <v>85.19999999999993</v>
      </c>
      <c r="BC28" s="619">
        <v>0.5</v>
      </c>
      <c r="BD28" s="619">
        <v>0.95</v>
      </c>
      <c r="BE28" s="618">
        <v>85.19999999999993</v>
      </c>
      <c r="BF28" s="619">
        <v>0.5</v>
      </c>
      <c r="BG28" s="619">
        <v>0.85</v>
      </c>
      <c r="BH28" s="623">
        <f t="shared" si="0"/>
        <v>0.5</v>
      </c>
      <c r="BI28" s="623">
        <f t="shared" si="1"/>
        <v>0.95</v>
      </c>
      <c r="BM28" s="665">
        <f>+BM24+1</f>
        <v>1</v>
      </c>
      <c r="BN28" s="661" t="s">
        <v>270</v>
      </c>
      <c r="BO28" s="665">
        <f>E28</f>
        <v>0</v>
      </c>
      <c r="BP28" s="663">
        <f>IF(((BO28&gt;1.5)*AND(BO28&lt;3))*AND((BO30&gt;1.5)*AND(BO30&lt;3)),1,0)</f>
        <v>0</v>
      </c>
      <c r="BQ28" s="663">
        <f>IF((AND((BP28=1),(OR(((BO28-BO30)&gt;0.03),((BO30-BO28)&gt;0.03))))),0,1)</f>
        <v>1</v>
      </c>
      <c r="BR28" s="661" t="e">
        <f>IF(B27="","",(IF(((BO28&gt;1.5)*AND(BO28&lt;3))*(((BQ28=1)*AND(BP28=1))),BO28,"")))</f>
        <v>#N/A</v>
      </c>
      <c r="BS28" s="661"/>
      <c r="BT28" s="661" t="e">
        <f>IF(B27="","",(IF(BQ28=0,BO30,(IF((AND((BR$61=1),(BP28))),BO30,BO28)))))</f>
        <v>#N/A</v>
      </c>
      <c r="BU28" s="661" t="e">
        <f>IF(AND(BP28,((NOT(BO28=BT28)))),1,0)</f>
        <v>#N/A</v>
      </c>
      <c r="BV28" s="661"/>
      <c r="BW28" s="661"/>
      <c r="BX28" s="661"/>
      <c r="BY28" s="661"/>
      <c r="BZ28" s="661"/>
      <c r="CA28" s="661"/>
      <c r="CB28" s="661"/>
      <c r="CC28" s="661"/>
    </row>
    <row r="29" spans="1:81" ht="15" customHeight="1">
      <c r="A29" s="343"/>
      <c r="B29" s="388" t="e">
        <f>IF(B27="","","COMP")</f>
        <v>#N/A</v>
      </c>
      <c r="C29" s="280" t="e">
        <f>IF(B27="","",(CONCATENATE(TEXT(B27+0.1,"0.0"),"C")))</f>
        <v>#N/A</v>
      </c>
      <c r="D29" s="713"/>
      <c r="E29" s="714"/>
      <c r="F29" s="366" t="e">
        <f>IF(OR(BU27,BU28),"COMP. CORE USED","")</f>
        <v>#N/A</v>
      </c>
      <c r="G29" s="363"/>
      <c r="H29" s="280">
        <f>IF(E28="","",AR99)</f>
      </c>
      <c r="I29" s="280">
        <f t="shared" si="4"/>
      </c>
      <c r="J29" s="280">
        <f t="shared" si="5"/>
      </c>
      <c r="K29" s="687" t="str">
        <f t="shared" si="6"/>
        <v> </v>
      </c>
      <c r="L29" s="687"/>
      <c r="M29" s="762" t="e">
        <f>IF($J$10&lt;2,"",(IF(H29="","",IF($D$8="","BID $$ ??",AU99))))</f>
        <v>#N/A</v>
      </c>
      <c r="N29" s="762"/>
      <c r="O29" s="346"/>
      <c r="P29" s="637" t="e">
        <f>+IF($I$52=B27,$N$52,IF($I$48=B27,$N$48,1))</f>
        <v>#N/A</v>
      </c>
      <c r="X29" s="62"/>
      <c r="BB29" s="618">
        <v>85.29999999999993</v>
      </c>
      <c r="BC29" s="619">
        <v>0.5</v>
      </c>
      <c r="BD29" s="619">
        <v>0.95</v>
      </c>
      <c r="BE29" s="618">
        <v>85.29999999999993</v>
      </c>
      <c r="BF29" s="619">
        <v>0.5</v>
      </c>
      <c r="BG29" s="619">
        <v>0.85</v>
      </c>
      <c r="BH29" s="623">
        <f t="shared" si="0"/>
        <v>0.5</v>
      </c>
      <c r="BI29" s="623">
        <f t="shared" si="1"/>
        <v>0.95</v>
      </c>
      <c r="BM29" s="665">
        <f>+BM25+1</f>
        <v>1</v>
      </c>
      <c r="BN29" s="663" t="s">
        <v>271</v>
      </c>
      <c r="BO29" s="665">
        <f>IF(E29="",0,(E29))</f>
        <v>0</v>
      </c>
      <c r="BP29" s="663">
        <f>IF(((BO27&gt;1.5)*AND(BO27&lt;3))*AND((BO29&gt;1.5)*AND(BO27&lt;3)),1,0)</f>
        <v>0</v>
      </c>
      <c r="BQ29" s="663">
        <f>IF((AND((BP27=1),(OR(((BO27-BO29)&gt;0.03),((BO29-BO27)&gt;0.03))))),0,1)</f>
        <v>1</v>
      </c>
      <c r="BR29" s="661"/>
      <c r="BS29" s="663" t="e">
        <f>IF(((BR27&gt;1.5)*AND(BR27&lt;3))*AND((BO29&gt;1.5)*AND(BO29&lt;3)),BO29,"")</f>
        <v>#N/A</v>
      </c>
      <c r="BT29" s="661"/>
      <c r="BU29" s="663"/>
      <c r="BV29" s="661"/>
      <c r="BW29" s="661"/>
      <c r="BX29" s="661"/>
      <c r="BY29" s="661"/>
      <c r="BZ29" s="661"/>
      <c r="CA29" s="661"/>
      <c r="CB29" s="661"/>
      <c r="CC29" s="661"/>
    </row>
    <row r="30" spans="1:81" ht="15" customHeight="1" thickBot="1">
      <c r="A30" s="740"/>
      <c r="B30" s="368"/>
      <c r="C30" s="674" t="e">
        <f>IF(B27="","",(CONCATENATE(TEXT(B27+0.2,"0.0"),"C")))</f>
        <v>#N/A</v>
      </c>
      <c r="D30" s="715"/>
      <c r="E30" s="716"/>
      <c r="F30" s="283">
        <f>IF(E27="","",mndot_rounding_3((F27+F28)/2))</f>
      </c>
      <c r="G30" s="360" t="e">
        <f>IF(B27="","","= Ave.Gmb.")</f>
        <v>#N/A</v>
      </c>
      <c r="H30" s="282">
        <f>IF(E28="","",AR100)</f>
      </c>
      <c r="I30" s="282">
        <f t="shared" si="4"/>
      </c>
      <c r="J30" s="282">
        <f t="shared" si="5"/>
      </c>
      <c r="K30" s="687" t="str">
        <f t="shared" si="6"/>
        <v> </v>
      </c>
      <c r="L30" s="688"/>
      <c r="M30" s="760" t="e">
        <f>IF($J$10&lt;2,"",(IF(H30="","",IF($D$8="","BID $$ ??",AU100))))</f>
        <v>#N/A</v>
      </c>
      <c r="N30" s="760"/>
      <c r="O30" s="393"/>
      <c r="P30" s="637" t="e">
        <f>+IF($I$52=B27,$N$52,IF($I$48=B27,$N$48,1))</f>
        <v>#N/A</v>
      </c>
      <c r="X30" s="62"/>
      <c r="Y30" s="67"/>
      <c r="BB30" s="618">
        <v>85.39999999999992</v>
      </c>
      <c r="BC30" s="619">
        <v>0.5</v>
      </c>
      <c r="BD30" s="619">
        <v>0.95</v>
      </c>
      <c r="BE30" s="618">
        <v>85.39999999999992</v>
      </c>
      <c r="BF30" s="619">
        <v>0.5</v>
      </c>
      <c r="BG30" s="619">
        <v>0.85</v>
      </c>
      <c r="BH30" s="623">
        <f t="shared" si="0"/>
        <v>0.5</v>
      </c>
      <c r="BI30" s="623">
        <f t="shared" si="1"/>
        <v>0.95</v>
      </c>
      <c r="BM30" s="665">
        <f>+BM26+1</f>
        <v>1</v>
      </c>
      <c r="BN30" s="663" t="s">
        <v>271</v>
      </c>
      <c r="BO30" s="665">
        <f>IF(E30="",0,(E30))</f>
        <v>0</v>
      </c>
      <c r="BP30" s="663">
        <f>IF(((BO28&gt;1.5)*AND(BO28&lt;3))*AND((BO30&gt;1.5)*AND(BO30&lt;3)),1,0)</f>
        <v>0</v>
      </c>
      <c r="BQ30" s="663">
        <f>IF((AND((BP28=1),(OR(((BO28-BO30)&gt;0.03),((BO30-BO28)&gt;0.03))))),0,1)</f>
        <v>1</v>
      </c>
      <c r="BR30" s="661"/>
      <c r="BS30" s="663" t="e">
        <f>IF(((BR28&gt;1.5)*AND(BR28&lt;3))*AND((BO30&gt;1.5)*AND(BO30&lt;3)),BO30,"")</f>
        <v>#N/A</v>
      </c>
      <c r="BT30" s="661"/>
      <c r="BU30" s="661"/>
      <c r="BV30" s="661"/>
      <c r="BW30" s="661"/>
      <c r="BX30" s="661"/>
      <c r="BY30" s="661"/>
      <c r="BZ30" s="661"/>
      <c r="CA30" s="661"/>
      <c r="CB30" s="661"/>
      <c r="CC30" s="661"/>
    </row>
    <row r="31" spans="1:81" ht="15" customHeight="1" thickTop="1">
      <c r="A31" s="343"/>
      <c r="B31" s="348" t="e">
        <f>IF(J10&lt;3,"",B27+1)</f>
        <v>#N/A</v>
      </c>
      <c r="C31" s="348" t="e">
        <f>IF(B31="","",B31+0.1)</f>
        <v>#N/A</v>
      </c>
      <c r="D31" s="713"/>
      <c r="E31" s="714"/>
      <c r="F31" s="281">
        <f>IF(E31="","",BT31)</f>
      </c>
      <c r="G31" s="362">
        <f>IF(E31="","",mndot_rounding_1((F34/$D$10)*100))</f>
      </c>
      <c r="H31" s="280">
        <f>IF(E31="","",AR101)</f>
      </c>
      <c r="I31" s="280">
        <f t="shared" si="4"/>
      </c>
      <c r="J31" s="280">
        <f t="shared" si="5"/>
      </c>
      <c r="K31" s="735" t="str">
        <f t="shared" si="6"/>
        <v> </v>
      </c>
      <c r="L31" s="687">
        <f>G109</f>
      </c>
      <c r="M31" s="762" t="e">
        <f>IF($J$10&lt;3,"",(IF(H31="","",IF($D$8="","BID $$ ??",AU101))))</f>
        <v>#N/A</v>
      </c>
      <c r="N31" s="762"/>
      <c r="O31" s="346"/>
      <c r="P31" s="637" t="e">
        <f>+IF($I$52=B31,$N$52,IF($I$48=B31,$N$48,1))</f>
        <v>#N/A</v>
      </c>
      <c r="X31" s="62"/>
      <c r="Y31" s="67"/>
      <c r="BB31" s="618">
        <v>85.49999999999991</v>
      </c>
      <c r="BC31" s="619">
        <v>0.5</v>
      </c>
      <c r="BD31" s="619">
        <v>0.98</v>
      </c>
      <c r="BE31" s="618">
        <v>85.49999999999991</v>
      </c>
      <c r="BF31" s="619">
        <v>0.5</v>
      </c>
      <c r="BG31" s="619">
        <v>0.91</v>
      </c>
      <c r="BH31" s="623">
        <f t="shared" si="0"/>
        <v>0.5</v>
      </c>
      <c r="BI31" s="623">
        <f t="shared" si="1"/>
        <v>0.98</v>
      </c>
      <c r="BM31" s="665">
        <f>+BM27+1</f>
        <v>2</v>
      </c>
      <c r="BN31" s="661" t="s">
        <v>270</v>
      </c>
      <c r="BO31" s="665">
        <f>+E31</f>
        <v>0</v>
      </c>
      <c r="BP31" s="663">
        <f>IF(((BO31&gt;1.5)*AND(BO31&lt;3))*AND((BO33&gt;1.5)*AND(BO31&lt;3)),1,0)</f>
        <v>0</v>
      </c>
      <c r="BQ31" s="663">
        <f>IF((AND((BP31=1),(OR(((BO31-BO33)&gt;0.03),((BO33-BO31)&gt;0.03))))),0,1)</f>
        <v>1</v>
      </c>
      <c r="BR31" s="661" t="e">
        <f>IF(B31="","",(IF(((BO31&gt;1.5)*AND(BO31&lt;3))*(((BQ31=1)*AND(BP31=1))),BO31,"")))</f>
        <v>#N/A</v>
      </c>
      <c r="BS31" s="661"/>
      <c r="BT31" s="661" t="e">
        <f>IF(B31="","",(IF(BQ31=0,BO33,(IF((AND((BR$61=1),(BP31))),BO33,BO31)))))</f>
        <v>#N/A</v>
      </c>
      <c r="BU31" s="661" t="e">
        <f>IF(AND(BP31,((NOT(BO31=BT31)))),1,0)</f>
        <v>#N/A</v>
      </c>
      <c r="BV31" s="661"/>
      <c r="BW31" s="661"/>
      <c r="BX31" s="661"/>
      <c r="BY31" s="661"/>
      <c r="BZ31" s="661"/>
      <c r="CA31" s="661"/>
      <c r="CB31" s="661"/>
      <c r="CC31" s="661"/>
    </row>
    <row r="32" spans="1:81" ht="15" customHeight="1">
      <c r="A32" s="343"/>
      <c r="B32" s="348"/>
      <c r="C32" s="348" t="e">
        <f>IF(B31="","",B31+0.2)</f>
        <v>#N/A</v>
      </c>
      <c r="D32" s="713"/>
      <c r="E32" s="714"/>
      <c r="F32" s="281">
        <f>IF(E32="","",BT32)</f>
      </c>
      <c r="G32" s="344"/>
      <c r="H32" s="280">
        <f>IF(E32="","",AR102)</f>
      </c>
      <c r="I32" s="280">
        <f t="shared" si="4"/>
      </c>
      <c r="J32" s="280">
        <f t="shared" si="5"/>
      </c>
      <c r="K32" s="687" t="str">
        <f t="shared" si="6"/>
        <v> </v>
      </c>
      <c r="L32" s="687">
        <f>G110</f>
      </c>
      <c r="M32" s="762" t="e">
        <f>IF($J$10&lt;3,"",(IF(H32="","",IF($D$8="","BID $$ ??",AU102))))</f>
        <v>#N/A</v>
      </c>
      <c r="N32" s="762"/>
      <c r="O32" s="346"/>
      <c r="P32" s="637" t="e">
        <f>+IF($I$52=B31,$N$52,IF($I$48=B31,$N$48,1))</f>
        <v>#N/A</v>
      </c>
      <c r="X32" s="133"/>
      <c r="Y32" s="67"/>
      <c r="BB32" s="618">
        <v>85.59999999999991</v>
      </c>
      <c r="BC32" s="619">
        <v>0.5</v>
      </c>
      <c r="BD32" s="619">
        <v>0.98</v>
      </c>
      <c r="BE32" s="618">
        <v>85.59999999999991</v>
      </c>
      <c r="BF32" s="619">
        <v>0.5</v>
      </c>
      <c r="BG32" s="619">
        <v>0.91</v>
      </c>
      <c r="BH32" s="623">
        <f t="shared" si="0"/>
        <v>0.5</v>
      </c>
      <c r="BI32" s="623">
        <f t="shared" si="1"/>
        <v>0.98</v>
      </c>
      <c r="BM32" s="665">
        <f aca="true" t="shared" si="7" ref="BM32:BM46">+BM28+1</f>
        <v>2</v>
      </c>
      <c r="BN32" s="661" t="s">
        <v>270</v>
      </c>
      <c r="BO32" s="665">
        <f>E32</f>
        <v>0</v>
      </c>
      <c r="BP32" s="663">
        <f>IF(((BO32&gt;1.5)*AND(BO32&lt;3))*AND((BO34&gt;1.5)*AND(BO34&lt;3)),1,0)</f>
        <v>0</v>
      </c>
      <c r="BQ32" s="663">
        <f>IF((AND((BP32=1),(OR(((BO32-BO34)&gt;0.03),((BO34-BO32)&gt;0.03))))),0,1)</f>
        <v>1</v>
      </c>
      <c r="BR32" s="661" t="e">
        <f>IF(B31="","",(IF(((BO32&gt;1.5)*AND(BO32&lt;3))*(((BQ32=1)*AND(BP32=1))),BO32,"")))</f>
        <v>#N/A</v>
      </c>
      <c r="BS32" s="661"/>
      <c r="BT32" s="661" t="e">
        <f>IF(B31="","",(IF(BQ32=0,BO34,(IF((AND((BR$61=1),(BP32))),BO34,BO32)))))</f>
        <v>#N/A</v>
      </c>
      <c r="BU32" s="661" t="e">
        <f>IF(AND(BP32,((NOT(BO32=BT32)))),1,0)</f>
        <v>#N/A</v>
      </c>
      <c r="BV32" s="661"/>
      <c r="BW32" s="661"/>
      <c r="BX32" s="661"/>
      <c r="BY32" s="661"/>
      <c r="BZ32" s="661"/>
      <c r="CA32" s="661"/>
      <c r="CB32" s="661"/>
      <c r="CC32" s="661"/>
    </row>
    <row r="33" spans="1:81" ht="15" customHeight="1">
      <c r="A33" s="343"/>
      <c r="B33" s="388" t="e">
        <f>IF(B31=""," ","COMP")</f>
        <v>#N/A</v>
      </c>
      <c r="C33" s="280" t="e">
        <f>IF(B31="","",(CONCATENATE(TEXT(B31+0.1,"0.0"),"C")))</f>
        <v>#N/A</v>
      </c>
      <c r="D33" s="713"/>
      <c r="E33" s="714"/>
      <c r="F33" s="366" t="e">
        <f>IF(OR(BU31,BU32),"COMP. CORE USED","")</f>
        <v>#N/A</v>
      </c>
      <c r="G33" s="344"/>
      <c r="H33" s="280">
        <f>IF(E32="","",AR103)</f>
      </c>
      <c r="I33" s="280">
        <f t="shared" si="4"/>
      </c>
      <c r="J33" s="280">
        <f t="shared" si="5"/>
      </c>
      <c r="K33" s="687" t="str">
        <f t="shared" si="6"/>
        <v> </v>
      </c>
      <c r="L33" s="687"/>
      <c r="M33" s="762" t="e">
        <f>IF($J$10&lt;3,"",(IF(H33="","",IF($D$8="","BID $$ ??",AU103))))</f>
        <v>#N/A</v>
      </c>
      <c r="N33" s="762"/>
      <c r="O33" s="346"/>
      <c r="P33" s="637" t="e">
        <f>+IF($I$52=B31,$N$52,IF($I$48=B31,$N$48,1))</f>
        <v>#N/A</v>
      </c>
      <c r="X33" s="62"/>
      <c r="Y33" s="67"/>
      <c r="BB33" s="618">
        <v>85.6999999999999</v>
      </c>
      <c r="BC33" s="619">
        <v>0.5</v>
      </c>
      <c r="BD33" s="619">
        <v>0.98</v>
      </c>
      <c r="BE33" s="618">
        <v>85.6999999999999</v>
      </c>
      <c r="BF33" s="619">
        <v>0.5</v>
      </c>
      <c r="BG33" s="619">
        <v>0.91</v>
      </c>
      <c r="BH33" s="623">
        <f t="shared" si="0"/>
        <v>0.5</v>
      </c>
      <c r="BI33" s="623">
        <f t="shared" si="1"/>
        <v>0.98</v>
      </c>
      <c r="BM33" s="665">
        <f t="shared" si="7"/>
        <v>2</v>
      </c>
      <c r="BN33" s="663" t="s">
        <v>271</v>
      </c>
      <c r="BO33" s="665">
        <f>IF(E33="",0,(E33))</f>
        <v>0</v>
      </c>
      <c r="BP33" s="663">
        <f>IF(((BO31&gt;1.5)*AND(BO31&lt;3))*AND((BO33&gt;1.5)*AND(BO31&lt;3)),1,0)</f>
        <v>0</v>
      </c>
      <c r="BQ33" s="663">
        <f>IF((AND((BP31=1),(OR(((BO31-BO33)&gt;0.03),((BO33-BO31)&gt;0.03))))),0,1)</f>
        <v>1</v>
      </c>
      <c r="BR33" s="661"/>
      <c r="BS33" s="663" t="e">
        <f>IF(((BR31&gt;1.5)*AND(BR31&lt;3))*AND((BO33&gt;1.5)*AND(BO33&lt;3)),BO33,"")</f>
        <v>#N/A</v>
      </c>
      <c r="BT33" s="661"/>
      <c r="BU33" s="663"/>
      <c r="BV33" s="661"/>
      <c r="BW33" s="661"/>
      <c r="BX33" s="661"/>
      <c r="BY33" s="661"/>
      <c r="BZ33" s="661"/>
      <c r="CA33" s="661"/>
      <c r="CB33" s="661"/>
      <c r="CC33" s="661"/>
    </row>
    <row r="34" spans="1:81" ht="15" customHeight="1" thickBot="1">
      <c r="A34" s="740"/>
      <c r="B34" s="368"/>
      <c r="C34" s="674" t="e">
        <f>IF(B31="","",(CONCATENATE(TEXT(B31+0.2,"0.0"),"C")))</f>
        <v>#N/A</v>
      </c>
      <c r="D34" s="715"/>
      <c r="E34" s="716"/>
      <c r="F34" s="283">
        <f>IF(E31="","",mndot_rounding_3((F31+F32)/2))</f>
      </c>
      <c r="G34" s="360" t="e">
        <f>IF(B31="","","= Ave.Gmb.")</f>
        <v>#N/A</v>
      </c>
      <c r="H34" s="282">
        <f>IF(E32="","",AR104)</f>
      </c>
      <c r="I34" s="282">
        <f t="shared" si="4"/>
      </c>
      <c r="J34" s="282">
        <f t="shared" si="5"/>
      </c>
      <c r="K34" s="687" t="str">
        <f t="shared" si="6"/>
        <v> </v>
      </c>
      <c r="L34" s="688"/>
      <c r="M34" s="760" t="e">
        <f>IF($J$10&lt;3,"",(IF(H34="","",IF($D$8="","BID $$ ??",AU104))))</f>
        <v>#N/A</v>
      </c>
      <c r="N34" s="760"/>
      <c r="O34" s="393"/>
      <c r="P34" s="637" t="e">
        <f>+IF($I$52=B31,$N$52,IF($I$48=B31,$N$48,1))</f>
        <v>#N/A</v>
      </c>
      <c r="X34" s="133"/>
      <c r="Y34" s="67"/>
      <c r="BB34" s="618">
        <v>85.7999999999999</v>
      </c>
      <c r="BC34" s="619">
        <v>0.5</v>
      </c>
      <c r="BD34" s="619">
        <v>0.98</v>
      </c>
      <c r="BE34" s="618">
        <v>85.7999999999999</v>
      </c>
      <c r="BF34" s="619">
        <v>0.5</v>
      </c>
      <c r="BG34" s="619">
        <v>0.91</v>
      </c>
      <c r="BH34" s="623">
        <f t="shared" si="0"/>
        <v>0.5</v>
      </c>
      <c r="BI34" s="623">
        <f t="shared" si="1"/>
        <v>0.98</v>
      </c>
      <c r="BM34" s="665">
        <f t="shared" si="7"/>
        <v>2</v>
      </c>
      <c r="BN34" s="663" t="s">
        <v>271</v>
      </c>
      <c r="BO34" s="665">
        <f>IF(E34="",0,(E34))</f>
        <v>0</v>
      </c>
      <c r="BP34" s="663">
        <f>IF(((BO32&gt;1.5)*AND(BO32&lt;3))*AND((BO34&gt;1.5)*AND(BO34&lt;3)),1,0)</f>
        <v>0</v>
      </c>
      <c r="BQ34" s="663">
        <f>IF((AND((BP32=1),(OR(((BO32-BO34)&gt;0.03),((BO34-BO32)&gt;0.03))))),0,1)</f>
        <v>1</v>
      </c>
      <c r="BR34" s="661"/>
      <c r="BS34" s="663" t="e">
        <f>IF(((BR32&gt;1.5)*AND(BR32&lt;3))*AND((BO34&gt;1.5)*AND(BO34&lt;3)),BO34,"")</f>
        <v>#N/A</v>
      </c>
      <c r="BT34" s="661"/>
      <c r="BU34" s="661"/>
      <c r="BV34" s="661"/>
      <c r="BW34" s="661"/>
      <c r="BX34" s="661"/>
      <c r="BY34" s="661"/>
      <c r="BZ34" s="661"/>
      <c r="CA34" s="661"/>
      <c r="CB34" s="661"/>
      <c r="CC34" s="661"/>
    </row>
    <row r="35" spans="1:81" ht="15" customHeight="1" thickTop="1">
      <c r="A35" s="343"/>
      <c r="B35" s="348" t="e">
        <f>IF(J10&lt;4,"",B31+1)</f>
        <v>#N/A</v>
      </c>
      <c r="C35" s="348" t="e">
        <f>IF(B35="","",B35+0.1)</f>
        <v>#N/A</v>
      </c>
      <c r="D35" s="713"/>
      <c r="E35" s="714"/>
      <c r="F35" s="281">
        <f>IF(E35="","",BT35)</f>
      </c>
      <c r="G35" s="362">
        <f>IF(E35="","",mndot_rounding_1((F38/$D$10)*100))</f>
      </c>
      <c r="H35" s="280">
        <f>IF(E35="","",AR105)</f>
      </c>
      <c r="I35" s="280">
        <f t="shared" si="4"/>
      </c>
      <c r="J35" s="280">
        <f t="shared" si="5"/>
      </c>
      <c r="K35" s="735" t="str">
        <f t="shared" si="6"/>
        <v> </v>
      </c>
      <c r="L35" s="687">
        <f>G113</f>
      </c>
      <c r="M35" s="762" t="e">
        <f>IF($J$10&lt;4,"",(IF(H35="","",IF($D$8="","BID $$ ??",AU105))))</f>
        <v>#N/A</v>
      </c>
      <c r="N35" s="762"/>
      <c r="O35" s="346"/>
      <c r="P35" s="637" t="e">
        <f>+IF($I$52=B35,$N$52,IF($I$48=B35,$N$48,1))</f>
        <v>#N/A</v>
      </c>
      <c r="X35" s="62"/>
      <c r="Y35" s="67"/>
      <c r="BB35" s="618">
        <v>85.89999999999989</v>
      </c>
      <c r="BC35" s="619">
        <v>0.5</v>
      </c>
      <c r="BD35" s="619">
        <v>0.98</v>
      </c>
      <c r="BE35" s="618">
        <v>85.89999999999989</v>
      </c>
      <c r="BF35" s="619">
        <v>0.5</v>
      </c>
      <c r="BG35" s="619">
        <v>0.91</v>
      </c>
      <c r="BH35" s="623">
        <f t="shared" si="0"/>
        <v>0.5</v>
      </c>
      <c r="BI35" s="623">
        <f t="shared" si="1"/>
        <v>0.98</v>
      </c>
      <c r="BM35" s="665">
        <f>+BM31+1</f>
        <v>3</v>
      </c>
      <c r="BN35" s="661" t="s">
        <v>270</v>
      </c>
      <c r="BO35" s="665">
        <f>+E35</f>
        <v>0</v>
      </c>
      <c r="BP35" s="663">
        <f>IF(((BO35&gt;1.5)*AND(BO35&lt;3))*AND((BO37&gt;1.5)*AND(BO35&lt;3)),1,0)</f>
        <v>0</v>
      </c>
      <c r="BQ35" s="663">
        <f>IF((AND((BP35=1),(OR(((BO35-BO37)&gt;0.03),((BO37-BO35)&gt;0.03))))),0,1)</f>
        <v>1</v>
      </c>
      <c r="BR35" s="661" t="e">
        <f>IF(B35="","",(IF(((BO35&gt;1.5)*AND(BO35&lt;3))*(((BQ35=1)*AND(BP35=1))),BO35,"")))</f>
        <v>#N/A</v>
      </c>
      <c r="BS35" s="661"/>
      <c r="BT35" s="661" t="e">
        <f>IF(B35="","",(IF(BQ35=0,BO37,(IF((AND((BR$61=1),(BP35))),BO37,BO35)))))</f>
        <v>#N/A</v>
      </c>
      <c r="BU35" s="661" t="e">
        <f>IF(AND(BP35,((NOT(BO35=BT35)))),1,0)</f>
        <v>#N/A</v>
      </c>
      <c r="BV35" s="661"/>
      <c r="BW35" s="661"/>
      <c r="BX35" s="661"/>
      <c r="BY35" s="661"/>
      <c r="BZ35" s="661"/>
      <c r="CA35" s="661"/>
      <c r="CB35" s="661"/>
      <c r="CC35" s="661"/>
    </row>
    <row r="36" spans="1:81" ht="15" customHeight="1">
      <c r="A36" s="343"/>
      <c r="B36" s="348"/>
      <c r="C36" s="348" t="e">
        <f>IF(B35="","",B35+0.2)</f>
        <v>#N/A</v>
      </c>
      <c r="D36" s="713"/>
      <c r="E36" s="714"/>
      <c r="F36" s="281">
        <f>IF(E36="","",BT36)</f>
      </c>
      <c r="G36" s="344"/>
      <c r="H36" s="280">
        <f>IF(E36="","",AR106)</f>
      </c>
      <c r="I36" s="280">
        <f t="shared" si="4"/>
      </c>
      <c r="J36" s="280">
        <f t="shared" si="5"/>
      </c>
      <c r="K36" s="687" t="str">
        <f t="shared" si="6"/>
        <v> </v>
      </c>
      <c r="L36" s="687">
        <f>G114</f>
      </c>
      <c r="M36" s="762" t="e">
        <f>IF($J$10&lt;4,"",(IF(H36="","",IF($D$8="","BID $$ ??",AU106))))</f>
        <v>#N/A</v>
      </c>
      <c r="N36" s="762"/>
      <c r="O36" s="346"/>
      <c r="P36" s="637" t="e">
        <f>+IF($I$52=B35,$N$52,IF($I$48=B35,$N$48,1))</f>
        <v>#N/A</v>
      </c>
      <c r="X36" s="62"/>
      <c r="Y36" s="67"/>
      <c r="BB36" s="618">
        <v>85.99999999999989</v>
      </c>
      <c r="BC36" s="619">
        <v>0.7</v>
      </c>
      <c r="BD36" s="619">
        <v>0.98</v>
      </c>
      <c r="BE36" s="618">
        <v>85.99999999999989</v>
      </c>
      <c r="BF36" s="619">
        <v>0.5</v>
      </c>
      <c r="BG36" s="619">
        <v>0.95</v>
      </c>
      <c r="BH36" s="623">
        <f t="shared" si="0"/>
        <v>0.7</v>
      </c>
      <c r="BI36" s="623">
        <f t="shared" si="1"/>
        <v>0.98</v>
      </c>
      <c r="BM36" s="665">
        <f t="shared" si="7"/>
        <v>3</v>
      </c>
      <c r="BN36" s="661" t="s">
        <v>270</v>
      </c>
      <c r="BO36" s="665">
        <f>E36</f>
        <v>0</v>
      </c>
      <c r="BP36" s="663">
        <f>IF(((BO36&gt;1.5)*AND(BO36&lt;3))*AND((BO38&gt;1.5)*AND(BO38&lt;3)),1,0)</f>
        <v>0</v>
      </c>
      <c r="BQ36" s="663">
        <f>IF((AND((BP36=1),(OR(((BO36-BO38)&gt;0.03),((BO38-BO36)&gt;0.03))))),0,1)</f>
        <v>1</v>
      </c>
      <c r="BR36" s="661" t="e">
        <f>IF(B35="","",(IF(((BO36&gt;1.5)*AND(BO36&lt;3))*(((BQ36=1)*AND(BP36=1))),BO36,"")))</f>
        <v>#N/A</v>
      </c>
      <c r="BS36" s="661"/>
      <c r="BT36" s="661" t="e">
        <f>IF(B35="","",(IF(BQ36=0,BO38,(IF((AND((BR$61=1),(BP36))),BO38,BO36)))))</f>
        <v>#N/A</v>
      </c>
      <c r="BU36" s="661" t="e">
        <f>IF(AND(BP36,((NOT(BO36=BT36)))),1,0)</f>
        <v>#N/A</v>
      </c>
      <c r="BV36" s="661"/>
      <c r="BW36" s="661"/>
      <c r="BX36" s="661"/>
      <c r="BY36" s="661"/>
      <c r="BZ36" s="661"/>
      <c r="CA36" s="661"/>
      <c r="CB36" s="661"/>
      <c r="CC36" s="661"/>
    </row>
    <row r="37" spans="1:81" ht="15" customHeight="1">
      <c r="A37" s="343"/>
      <c r="B37" s="388" t="e">
        <f>IF(B35=""," ","COMP")</f>
        <v>#N/A</v>
      </c>
      <c r="C37" s="280" t="e">
        <f>IF(B35="","",(CONCATENATE(TEXT(B35+0.1,"0.0"),"C")))</f>
        <v>#N/A</v>
      </c>
      <c r="D37" s="713"/>
      <c r="E37" s="714"/>
      <c r="F37" s="366" t="e">
        <f>IF(OR(BU35,BU36),"COMP. CORE USED","")</f>
        <v>#N/A</v>
      </c>
      <c r="G37" s="371"/>
      <c r="H37" s="280">
        <f>IF(E36="","",AR107)</f>
      </c>
      <c r="I37" s="280">
        <f t="shared" si="4"/>
      </c>
      <c r="J37" s="280">
        <f t="shared" si="5"/>
      </c>
      <c r="K37" s="687" t="str">
        <f t="shared" si="6"/>
        <v> </v>
      </c>
      <c r="L37" s="687"/>
      <c r="M37" s="762" t="e">
        <f>IF($J$10&lt;4,"",(IF(H37="","",IF($D$8="","BID $$ ??",AU107))))</f>
        <v>#N/A</v>
      </c>
      <c r="N37" s="762"/>
      <c r="O37" s="346"/>
      <c r="P37" s="637" t="e">
        <f>+IF($I$52=B35,$N$52,IF($I$48=B35,$N$48,1))</f>
        <v>#N/A</v>
      </c>
      <c r="X37" s="133"/>
      <c r="Y37" s="67"/>
      <c r="BB37" s="618">
        <v>86.09999999999988</v>
      </c>
      <c r="BC37" s="619">
        <v>0.7</v>
      </c>
      <c r="BD37" s="619">
        <v>0.98</v>
      </c>
      <c r="BE37" s="618">
        <v>86.09999999999988</v>
      </c>
      <c r="BF37" s="619">
        <v>0.5</v>
      </c>
      <c r="BG37" s="619">
        <v>0.95</v>
      </c>
      <c r="BH37" s="623">
        <f t="shared" si="0"/>
        <v>0.7</v>
      </c>
      <c r="BI37" s="623">
        <f t="shared" si="1"/>
        <v>0.98</v>
      </c>
      <c r="BM37" s="665">
        <f t="shared" si="7"/>
        <v>3</v>
      </c>
      <c r="BN37" s="663" t="s">
        <v>271</v>
      </c>
      <c r="BO37" s="665">
        <f>IF(E37="",0,(E37))</f>
        <v>0</v>
      </c>
      <c r="BP37" s="663">
        <f>IF(((BO35&gt;1.5)*AND(BO35&lt;3))*AND((BO37&gt;1.5)*AND(BO35&lt;3)),1,0)</f>
        <v>0</v>
      </c>
      <c r="BQ37" s="663">
        <f>IF((AND((BP35=1),(OR(((BO35-BO37)&gt;0.03),((BO37-BO35)&gt;0.03))))),0,1)</f>
        <v>1</v>
      </c>
      <c r="BR37" s="661"/>
      <c r="BS37" s="663" t="e">
        <f>IF(((BR35&gt;1.5)*AND(BR35&lt;3))*AND((BO37&gt;1.5)*AND(BO37&lt;3)),BO37,"")</f>
        <v>#N/A</v>
      </c>
      <c r="BT37" s="661"/>
      <c r="BU37" s="663"/>
      <c r="BV37" s="661"/>
      <c r="BW37" s="661"/>
      <c r="BX37" s="661"/>
      <c r="BY37" s="661"/>
      <c r="BZ37" s="661"/>
      <c r="CA37" s="661"/>
      <c r="CB37" s="661"/>
      <c r="CC37" s="661"/>
    </row>
    <row r="38" spans="1:81" ht="15" customHeight="1" thickBot="1">
      <c r="A38" s="740"/>
      <c r="B38" s="368"/>
      <c r="C38" s="674" t="e">
        <f>IF(B35="","",(CONCATENATE(TEXT(B35+0.2,"0.0"),"C")))</f>
        <v>#N/A</v>
      </c>
      <c r="D38" s="715"/>
      <c r="E38" s="716"/>
      <c r="F38" s="283">
        <f>IF(E35="","",mndot_rounding_3((F35+F36)/2))</f>
      </c>
      <c r="G38" s="360" t="e">
        <f>IF(B35="","","= Ave.Gmb.")</f>
        <v>#N/A</v>
      </c>
      <c r="H38" s="282">
        <f>IF(E36="","",AR108)</f>
      </c>
      <c r="I38" s="282">
        <f t="shared" si="4"/>
      </c>
      <c r="J38" s="282">
        <f t="shared" si="5"/>
      </c>
      <c r="K38" s="687" t="str">
        <f t="shared" si="6"/>
        <v> </v>
      </c>
      <c r="L38" s="688"/>
      <c r="M38" s="760" t="e">
        <f>IF($J$10&lt;4,"",(IF(H38="","",IF($D$8="","BID $$ ??",AU108))))</f>
        <v>#N/A</v>
      </c>
      <c r="N38" s="760"/>
      <c r="O38" s="393"/>
      <c r="P38" s="637" t="e">
        <f>+IF($I$52=B35,$N$52,IF($I$48=B35,$N$48,1))</f>
        <v>#N/A</v>
      </c>
      <c r="X38" s="62"/>
      <c r="Y38" s="67"/>
      <c r="BB38" s="618">
        <v>86.19999999999987</v>
      </c>
      <c r="BC38" s="619">
        <v>0.7</v>
      </c>
      <c r="BD38" s="619">
        <v>0.98</v>
      </c>
      <c r="BE38" s="618">
        <v>86.19999999999987</v>
      </c>
      <c r="BF38" s="619">
        <v>0.5</v>
      </c>
      <c r="BG38" s="619">
        <v>0.95</v>
      </c>
      <c r="BH38" s="623">
        <f t="shared" si="0"/>
        <v>0.7</v>
      </c>
      <c r="BI38" s="623">
        <f t="shared" si="1"/>
        <v>0.98</v>
      </c>
      <c r="BM38" s="665">
        <f t="shared" si="7"/>
        <v>3</v>
      </c>
      <c r="BN38" s="663" t="s">
        <v>271</v>
      </c>
      <c r="BO38" s="665">
        <f>IF(E38="",0,(E38))</f>
        <v>0</v>
      </c>
      <c r="BP38" s="663">
        <f>IF(((BO36&gt;1.5)*AND(BO36&lt;3))*AND((BO38&gt;1.5)*AND(BO38&lt;3)),1,0)</f>
        <v>0</v>
      </c>
      <c r="BQ38" s="663">
        <f>IF((AND((BP36=1),(OR(((BO36-BO38)&gt;0.03),((BO38-BO36)&gt;0.03))))),0,1)</f>
        <v>1</v>
      </c>
      <c r="BR38" s="661"/>
      <c r="BS38" s="663" t="e">
        <f>IF(((BR36&gt;1.5)*AND(BR36&lt;3))*AND((BO38&gt;1.5)*AND(BO38&lt;3)),BO38,"")</f>
        <v>#N/A</v>
      </c>
      <c r="BT38" s="661"/>
      <c r="BU38" s="661"/>
      <c r="BV38" s="661"/>
      <c r="BW38" s="661"/>
      <c r="BX38" s="661"/>
      <c r="BY38" s="661"/>
      <c r="BZ38" s="661"/>
      <c r="CA38" s="661"/>
      <c r="CB38" s="661"/>
      <c r="CC38" s="661"/>
    </row>
    <row r="39" spans="1:81" ht="15" customHeight="1" thickTop="1">
      <c r="A39" s="343"/>
      <c r="B39" s="348" t="e">
        <f>IF(J10&lt;5,"",B35+1)</f>
        <v>#N/A</v>
      </c>
      <c r="C39" s="348" t="e">
        <f>IF(B39="","",B39+0.1)</f>
        <v>#N/A</v>
      </c>
      <c r="D39" s="713"/>
      <c r="E39" s="714"/>
      <c r="F39" s="281">
        <f>IF(E39="","",BT39)</f>
      </c>
      <c r="G39" s="362">
        <f>IF(E39="","",mndot_rounding_1((F42/$D$10)*100))</f>
      </c>
      <c r="H39" s="280">
        <f>IF(E39="","",AR109)</f>
      </c>
      <c r="I39" s="280">
        <f t="shared" si="4"/>
      </c>
      <c r="J39" s="280">
        <f t="shared" si="5"/>
      </c>
      <c r="K39" s="735" t="str">
        <f t="shared" si="6"/>
        <v> </v>
      </c>
      <c r="L39" s="687">
        <f>G117</f>
      </c>
      <c r="M39" s="762" t="e">
        <f>IF($J$10&lt;5,"",(IF(H39="","",IF($D$8="","BID $$ ??",AU109))))</f>
        <v>#N/A</v>
      </c>
      <c r="N39" s="762"/>
      <c r="O39" s="346"/>
      <c r="P39" s="637" t="e">
        <f>+IF($I$52=B39,$N$52,IF($I$48=B39,$N$48,1))</f>
        <v>#N/A</v>
      </c>
      <c r="X39" s="67"/>
      <c r="Y39" s="67"/>
      <c r="BB39" s="618">
        <v>86.29999999999987</v>
      </c>
      <c r="BC39" s="619">
        <v>0.7</v>
      </c>
      <c r="BD39" s="619">
        <v>0.98</v>
      </c>
      <c r="BE39" s="618">
        <v>86.29999999999987</v>
      </c>
      <c r="BF39" s="619">
        <v>0.5</v>
      </c>
      <c r="BG39" s="619">
        <v>0.95</v>
      </c>
      <c r="BH39" s="623">
        <f t="shared" si="0"/>
        <v>0.7</v>
      </c>
      <c r="BI39" s="623">
        <f t="shared" si="1"/>
        <v>0.98</v>
      </c>
      <c r="BM39" s="665">
        <f>+BM35+1</f>
        <v>4</v>
      </c>
      <c r="BN39" s="661" t="s">
        <v>270</v>
      </c>
      <c r="BO39" s="665">
        <f>+E39</f>
        <v>0</v>
      </c>
      <c r="BP39" s="663">
        <f>IF(((BO39&gt;1.5)*AND(BO39&lt;3))*AND((BO41&gt;1.5)*AND(BO39&lt;3)),1,0)</f>
        <v>0</v>
      </c>
      <c r="BQ39" s="663">
        <f>IF((AND((BP39=1),(OR(((BO39-BO41)&gt;0.03),((BO41-BO39)&gt;0.03))))),0,1)</f>
        <v>1</v>
      </c>
      <c r="BR39" s="661" t="e">
        <f>IF(B39="","",(IF(((BO39&gt;1.5)*AND(BO39&lt;3))*(((BQ39=1)*AND(BP39=1))),BO39,"")))</f>
        <v>#N/A</v>
      </c>
      <c r="BS39" s="661"/>
      <c r="BT39" s="661" t="e">
        <f>IF(B39="","",(IF(BQ39=0,BO41,(IF((AND((BR$61=1),(BP39))),BO41,BO39)))))</f>
        <v>#N/A</v>
      </c>
      <c r="BU39" s="661" t="e">
        <f>IF(AND(BP39,((NOT(BO39=BT39)))),1,0)</f>
        <v>#N/A</v>
      </c>
      <c r="BV39" s="661"/>
      <c r="BW39" s="661"/>
      <c r="BX39" s="661"/>
      <c r="BY39" s="661"/>
      <c r="BZ39" s="661"/>
      <c r="CA39" s="661"/>
      <c r="CB39" s="661"/>
      <c r="CC39" s="661"/>
    </row>
    <row r="40" spans="1:81" ht="15" customHeight="1">
      <c r="A40" s="343"/>
      <c r="B40" s="348"/>
      <c r="C40" s="348" t="e">
        <f>IF(B39="","",B39+0.2)</f>
        <v>#N/A</v>
      </c>
      <c r="D40" s="713"/>
      <c r="E40" s="714"/>
      <c r="F40" s="281">
        <f>IF(E40="","",BT40)</f>
      </c>
      <c r="G40" s="344"/>
      <c r="H40" s="280">
        <f>IF(E40="","",AR110)</f>
      </c>
      <c r="I40" s="280">
        <f t="shared" si="4"/>
      </c>
      <c r="J40" s="280">
        <f t="shared" si="5"/>
      </c>
      <c r="K40" s="687" t="str">
        <f t="shared" si="6"/>
        <v> </v>
      </c>
      <c r="L40" s="687">
        <f>G118</f>
      </c>
      <c r="M40" s="762" t="e">
        <f>IF($J$10&lt;5,"",(IF(H40="","",IF($D$8="","BID $$ ??",AU110))))</f>
        <v>#N/A</v>
      </c>
      <c r="N40" s="762"/>
      <c r="O40" s="346"/>
      <c r="P40" s="637" t="e">
        <f>+IF($I$52=B39,$N$52,IF($I$48=B39,$N$48,1))</f>
        <v>#N/A</v>
      </c>
      <c r="X40" s="67"/>
      <c r="Y40" s="67"/>
      <c r="BB40" s="618">
        <v>86.39999999999986</v>
      </c>
      <c r="BC40" s="619">
        <v>0.7</v>
      </c>
      <c r="BD40" s="619">
        <v>0.98</v>
      </c>
      <c r="BE40" s="618">
        <v>86.39999999999986</v>
      </c>
      <c r="BF40" s="619">
        <v>0.5</v>
      </c>
      <c r="BG40" s="619">
        <v>0.95</v>
      </c>
      <c r="BH40" s="623">
        <f t="shared" si="0"/>
        <v>0.7</v>
      </c>
      <c r="BI40" s="623">
        <f t="shared" si="1"/>
        <v>0.98</v>
      </c>
      <c r="BM40" s="665">
        <f t="shared" si="7"/>
        <v>4</v>
      </c>
      <c r="BN40" s="661" t="s">
        <v>270</v>
      </c>
      <c r="BO40" s="665">
        <f>E40</f>
        <v>0</v>
      </c>
      <c r="BP40" s="663">
        <f>IF(((BO40&gt;1.5)*AND(BO40&lt;3))*AND((BO42&gt;1.5)*AND(BO42&lt;3)),1,0)</f>
        <v>0</v>
      </c>
      <c r="BQ40" s="663">
        <f>IF((AND((BP40=1),(OR(((BO40-BO42)&gt;0.03),((BO42-BO40)&gt;0.03))))),0,1)</f>
        <v>1</v>
      </c>
      <c r="BR40" s="661" t="e">
        <f>IF(B39="","",(IF(((BO40&gt;1.5)*AND(BO40&lt;3))*(((BQ40=1)*AND(BP40=1))),BO40,"")))</f>
        <v>#N/A</v>
      </c>
      <c r="BS40" s="661"/>
      <c r="BT40" s="661" t="e">
        <f>IF(B39="","",(IF(BQ40=0,BO42,(IF((AND((BR$61=1),(BP40))),BO42,BO40)))))</f>
        <v>#N/A</v>
      </c>
      <c r="BU40" s="661" t="e">
        <f>IF(AND(BP40,((NOT(BO40=BT40)))),1,0)</f>
        <v>#N/A</v>
      </c>
      <c r="BV40" s="661"/>
      <c r="BW40" s="661"/>
      <c r="BX40" s="661"/>
      <c r="BY40" s="661"/>
      <c r="BZ40" s="661"/>
      <c r="CA40" s="661"/>
      <c r="CB40" s="661"/>
      <c r="CC40" s="661"/>
    </row>
    <row r="41" spans="1:81" ht="15" customHeight="1">
      <c r="A41" s="343"/>
      <c r="B41" s="388" t="e">
        <f>IF(B39=""," ","COMP")</f>
        <v>#N/A</v>
      </c>
      <c r="C41" s="280" t="e">
        <f>IF(B39="","",(CONCATENATE(TEXT(B39+0.1,"0.0"),"C")))</f>
        <v>#N/A</v>
      </c>
      <c r="D41" s="713"/>
      <c r="E41" s="714"/>
      <c r="F41" s="366" t="e">
        <f>IF(OR(BU39,BU40),"COMP. CORE USED","")</f>
        <v>#N/A</v>
      </c>
      <c r="G41" s="344"/>
      <c r="H41" s="280">
        <f>IF(E40="","",AR111)</f>
      </c>
      <c r="I41" s="280">
        <f t="shared" si="4"/>
      </c>
      <c r="J41" s="280">
        <f t="shared" si="5"/>
      </c>
      <c r="K41" s="687" t="str">
        <f t="shared" si="6"/>
        <v> </v>
      </c>
      <c r="L41" s="687"/>
      <c r="M41" s="762" t="e">
        <f>IF($J$10&lt;5,"",(IF(H41="","",IF($D$8="","BID $$ ??",AU111))))</f>
        <v>#N/A</v>
      </c>
      <c r="N41" s="762"/>
      <c r="O41" s="346"/>
      <c r="P41" s="637" t="e">
        <f>+IF($I$52=B39,$N$52,IF($I$48=B39,$N$48,1))</f>
        <v>#N/A</v>
      </c>
      <c r="X41" s="67"/>
      <c r="Y41" s="67"/>
      <c r="BB41" s="618">
        <v>86.49999999999986</v>
      </c>
      <c r="BC41" s="619">
        <v>0.85</v>
      </c>
      <c r="BD41" s="619">
        <v>1</v>
      </c>
      <c r="BE41" s="618">
        <v>86.49999999999986</v>
      </c>
      <c r="BF41" s="619">
        <v>0.5</v>
      </c>
      <c r="BG41" s="619">
        <v>0.98</v>
      </c>
      <c r="BH41" s="623">
        <f t="shared" si="0"/>
        <v>0.85</v>
      </c>
      <c r="BI41" s="623">
        <f t="shared" si="1"/>
        <v>1</v>
      </c>
      <c r="BM41" s="665">
        <f t="shared" si="7"/>
        <v>4</v>
      </c>
      <c r="BN41" s="663" t="s">
        <v>271</v>
      </c>
      <c r="BO41" s="665">
        <f>IF(E41="",0,(E41))</f>
        <v>0</v>
      </c>
      <c r="BP41" s="663">
        <f>IF(((BO39&gt;1.5)*AND(BO39&lt;3))*AND((BO41&gt;1.5)*AND(BO39&lt;3)),1,0)</f>
        <v>0</v>
      </c>
      <c r="BQ41" s="663">
        <f>IF((AND((BP39=1),(OR(((BO39-BO41)&gt;0.03),((BO41-BO39)&gt;0.03))))),0,1)</f>
        <v>1</v>
      </c>
      <c r="BR41" s="661"/>
      <c r="BS41" s="663" t="e">
        <f>IF(((BR39&gt;1.5)*AND(BR39&lt;3))*AND((BO41&gt;1.5)*AND(BO41&lt;3)),BO41,"")</f>
        <v>#N/A</v>
      </c>
      <c r="BT41" s="661"/>
      <c r="BU41" s="663"/>
      <c r="BV41" s="661"/>
      <c r="BW41" s="661"/>
      <c r="BX41" s="661"/>
      <c r="BY41" s="661"/>
      <c r="BZ41" s="661"/>
      <c r="CA41" s="661"/>
      <c r="CB41" s="661"/>
      <c r="CC41" s="661"/>
    </row>
    <row r="42" spans="1:81" ht="15" customHeight="1" thickBot="1">
      <c r="A42" s="740">
        <f>IF(D42="","","Average Core Thickness=")</f>
      </c>
      <c r="B42" s="368"/>
      <c r="C42" s="674" t="e">
        <f>IF(B39="","",(CONCATENATE(TEXT(B39+0.2,"0.0"),"C")))</f>
        <v>#N/A</v>
      </c>
      <c r="D42" s="715"/>
      <c r="E42" s="716"/>
      <c r="F42" s="283">
        <f>IF(E39="","",mndot_rounding_3((F39+F40)/2))</f>
      </c>
      <c r="G42" s="360" t="e">
        <f>IF(B39="","","= Ave.Gmb.")</f>
        <v>#N/A</v>
      </c>
      <c r="H42" s="282">
        <f>IF(E40="","",AR112)</f>
      </c>
      <c r="I42" s="282">
        <f t="shared" si="4"/>
      </c>
      <c r="J42" s="282">
        <f t="shared" si="5"/>
      </c>
      <c r="K42" s="687" t="str">
        <f t="shared" si="6"/>
        <v> </v>
      </c>
      <c r="L42" s="688"/>
      <c r="M42" s="760" t="e">
        <f>IF($J$10&lt;5,"",(IF(H42="","",IF($D$8="","BID $$ ??",AU112))))</f>
        <v>#N/A</v>
      </c>
      <c r="N42" s="760"/>
      <c r="O42" s="393"/>
      <c r="P42" s="637" t="e">
        <f>+IF($I$52=B39,$N$52,IF($I$48=B39,$N$48,1))</f>
        <v>#N/A</v>
      </c>
      <c r="X42" s="67"/>
      <c r="Y42" s="67"/>
      <c r="BB42" s="618">
        <v>86.59999999999985</v>
      </c>
      <c r="BC42" s="619">
        <v>0.85</v>
      </c>
      <c r="BD42" s="619">
        <v>1</v>
      </c>
      <c r="BE42" s="618">
        <v>86.59999999999985</v>
      </c>
      <c r="BF42" s="619">
        <v>0.5</v>
      </c>
      <c r="BG42" s="619">
        <v>0.98</v>
      </c>
      <c r="BH42" s="623">
        <f t="shared" si="0"/>
        <v>0.85</v>
      </c>
      <c r="BI42" s="623">
        <f t="shared" si="1"/>
        <v>1</v>
      </c>
      <c r="BM42" s="665">
        <f t="shared" si="7"/>
        <v>4</v>
      </c>
      <c r="BN42" s="663" t="s">
        <v>271</v>
      </c>
      <c r="BO42" s="665">
        <f>IF(E42="",0,(E42))</f>
        <v>0</v>
      </c>
      <c r="BP42" s="663">
        <f>IF(((BO40&gt;1.5)*AND(BO40&lt;3))*AND((BO42&gt;1.5)*AND(BO42&lt;3)),1,0)</f>
        <v>0</v>
      </c>
      <c r="BQ42" s="663">
        <f>IF((AND((BP40=1),(OR(((BO40-BO42)&gt;0.03),((BO42-BO40)&gt;0.03))))),0,1)</f>
        <v>1</v>
      </c>
      <c r="BR42" s="661"/>
      <c r="BS42" s="663" t="e">
        <f>IF(((BR40&gt;1.5)*AND(BR40&lt;3))*AND((BO42&gt;1.5)*AND(BO42&lt;3)),BO42,"")</f>
        <v>#N/A</v>
      </c>
      <c r="BT42" s="661"/>
      <c r="BU42" s="661"/>
      <c r="BV42" s="661"/>
      <c r="BW42" s="661"/>
      <c r="BX42" s="661"/>
      <c r="BY42" s="661"/>
      <c r="BZ42" s="661"/>
      <c r="CA42" s="661"/>
      <c r="CB42" s="661"/>
      <c r="CC42" s="661"/>
    </row>
    <row r="43" spans="1:81" ht="15" customHeight="1" thickTop="1">
      <c r="A43" s="343"/>
      <c r="B43" s="348" t="e">
        <f>IF(J10&lt;6,"",B39+1)</f>
        <v>#N/A</v>
      </c>
      <c r="C43" s="348" t="e">
        <f>IF(B43="","",B43+0.1)</f>
        <v>#N/A</v>
      </c>
      <c r="D43" s="713"/>
      <c r="E43" s="714"/>
      <c r="F43" s="281">
        <f>IF(E43="","",BT43)</f>
      </c>
      <c r="G43" s="362">
        <f>IF(E43="","",mndot_rounding_1((F46/$D$10)*100))</f>
      </c>
      <c r="H43" s="280">
        <f>IF(E43="","",AR113)</f>
      </c>
      <c r="I43" s="280">
        <f t="shared" si="4"/>
      </c>
      <c r="J43" s="280">
        <f t="shared" si="5"/>
      </c>
      <c r="K43" s="735" t="str">
        <f t="shared" si="6"/>
        <v> </v>
      </c>
      <c r="L43" s="687">
        <f>G121</f>
      </c>
      <c r="M43" s="762" t="e">
        <f>IF($J$10&lt;6,"",(IF(H43="","",IF($D$8="","BID $$ ??",AU113))))</f>
        <v>#N/A</v>
      </c>
      <c r="N43" s="762"/>
      <c r="O43" s="346"/>
      <c r="P43" s="637" t="e">
        <f>+IF($I$52=B43,$N$52,IF($I$48=B43,$N$48,1))</f>
        <v>#N/A</v>
      </c>
      <c r="X43" s="67"/>
      <c r="Y43" s="67"/>
      <c r="BB43" s="618">
        <v>86.69999999999985</v>
      </c>
      <c r="BC43" s="619">
        <v>0.85</v>
      </c>
      <c r="BD43" s="619">
        <v>1</v>
      </c>
      <c r="BE43" s="618">
        <v>86.69999999999985</v>
      </c>
      <c r="BF43" s="619">
        <v>0.5</v>
      </c>
      <c r="BG43" s="619">
        <v>0.98</v>
      </c>
      <c r="BH43" s="623">
        <f t="shared" si="0"/>
        <v>0.85</v>
      </c>
      <c r="BI43" s="623">
        <f t="shared" si="1"/>
        <v>1</v>
      </c>
      <c r="BM43" s="665">
        <f>+BM39+1</f>
        <v>5</v>
      </c>
      <c r="BN43" s="661" t="s">
        <v>270</v>
      </c>
      <c r="BO43" s="665">
        <f>+E43</f>
        <v>0</v>
      </c>
      <c r="BP43" s="663">
        <f>IF(((BO43&gt;1.5)*AND(BO43&lt;3))*AND((BO45&gt;1.5)*AND(BO43&lt;3)),1,0)</f>
        <v>0</v>
      </c>
      <c r="BQ43" s="663">
        <f>IF((AND((BP43=1),(OR(((BO43-BO45)&gt;0.03),((BO45-BO43)&gt;0.03))))),0,1)</f>
        <v>1</v>
      </c>
      <c r="BR43" s="661" t="e">
        <f>IF(B43="","",(IF(((BO43&gt;1.5)*AND(BO43&lt;3))*(((BQ43=1)*AND(BP43=1))),BO43,"")))</f>
        <v>#N/A</v>
      </c>
      <c r="BS43" s="661"/>
      <c r="BT43" s="661" t="e">
        <f>IF(B43="","",(IF(BQ43=0,BO45,(IF((AND((BR$61=1),(BP43))),BO45,BO43)))))</f>
        <v>#N/A</v>
      </c>
      <c r="BU43" s="661" t="e">
        <f>IF(AND(BP43,((NOT(BO43=BT43)))),1,0)</f>
        <v>#N/A</v>
      </c>
      <c r="BV43" s="661"/>
      <c r="BW43" s="661"/>
      <c r="BX43" s="661"/>
      <c r="BY43" s="661"/>
      <c r="BZ43" s="661"/>
      <c r="CA43" s="661"/>
      <c r="CB43" s="661"/>
      <c r="CC43" s="661"/>
    </row>
    <row r="44" spans="1:81" ht="15" customHeight="1">
      <c r="A44" s="343"/>
      <c r="B44" s="348"/>
      <c r="C44" s="348" t="e">
        <f>IF(B43="","",B43+0.2)</f>
        <v>#N/A</v>
      </c>
      <c r="D44" s="713"/>
      <c r="E44" s="714"/>
      <c r="F44" s="281">
        <f>IF(E44="","",BT44)</f>
      </c>
      <c r="G44" s="344"/>
      <c r="H44" s="280">
        <f>IF(E44="","",AR114)</f>
      </c>
      <c r="I44" s="280">
        <f t="shared" si="4"/>
      </c>
      <c r="J44" s="280">
        <f t="shared" si="5"/>
      </c>
      <c r="K44" s="687" t="str">
        <f t="shared" si="6"/>
        <v> </v>
      </c>
      <c r="L44" s="687">
        <f>G122</f>
      </c>
      <c r="M44" s="762" t="e">
        <f>IF($J$10&lt;6,"",(IF(H44="","",IF($D$8="","BID $$ ??",AU114))))</f>
        <v>#N/A</v>
      </c>
      <c r="N44" s="762"/>
      <c r="O44" s="346"/>
      <c r="P44" s="637" t="e">
        <f>+IF($I$52=B43,$N$52,IF($I$48=B43,$N$48,1))</f>
        <v>#N/A</v>
      </c>
      <c r="X44" s="67"/>
      <c r="Y44" s="67"/>
      <c r="BB44" s="618">
        <v>86.79999999999984</v>
      </c>
      <c r="BC44" s="619">
        <v>0.85</v>
      </c>
      <c r="BD44" s="619">
        <v>1</v>
      </c>
      <c r="BE44" s="618">
        <v>86.79999999999984</v>
      </c>
      <c r="BF44" s="619">
        <v>0.5</v>
      </c>
      <c r="BG44" s="619">
        <v>0.98</v>
      </c>
      <c r="BH44" s="623">
        <f t="shared" si="0"/>
        <v>0.85</v>
      </c>
      <c r="BI44" s="623">
        <f t="shared" si="1"/>
        <v>1</v>
      </c>
      <c r="BM44" s="665">
        <f t="shared" si="7"/>
        <v>5</v>
      </c>
      <c r="BN44" s="661" t="s">
        <v>270</v>
      </c>
      <c r="BO44" s="665">
        <f>E44</f>
        <v>0</v>
      </c>
      <c r="BP44" s="663">
        <f>IF(((BO44&gt;1.5)*AND(BO44&lt;3))*AND((BO46&gt;1.5)*AND(BO46&lt;3)),1,0)</f>
        <v>0</v>
      </c>
      <c r="BQ44" s="663">
        <f>IF((AND((BP44=1),(OR(((BO44-BO46)&gt;0.03),((BO46-BO44)&gt;0.03))))),0,1)</f>
        <v>1</v>
      </c>
      <c r="BR44" s="661" t="e">
        <f>IF(B43="","",(IF(((BO44&gt;1.5)*AND(BO44&lt;3))*(((BQ44=1)*AND(BP44=1))),BO44,"")))</f>
        <v>#N/A</v>
      </c>
      <c r="BS44" s="661"/>
      <c r="BT44" s="661" t="e">
        <f>IF(B43="","",(IF(BQ44=0,BO46,(IF((AND((BR$61=1),(BP44))),BO46,BO44)))))</f>
        <v>#N/A</v>
      </c>
      <c r="BU44" s="661" t="e">
        <f>IF(AND(BP44,((NOT(BO44=BT44)))),1,0)</f>
        <v>#N/A</v>
      </c>
      <c r="BV44" s="661"/>
      <c r="BW44" s="661"/>
      <c r="BX44" s="661"/>
      <c r="BY44" s="661"/>
      <c r="BZ44" s="661"/>
      <c r="CA44" s="661"/>
      <c r="CB44" s="661"/>
      <c r="CC44" s="661"/>
    </row>
    <row r="45" spans="1:81" ht="15" customHeight="1">
      <c r="A45" s="343"/>
      <c r="B45" s="388" t="e">
        <f>IF(B43=""," ","COMP")</f>
        <v>#N/A</v>
      </c>
      <c r="C45" s="280" t="e">
        <f>IF(B43="","",(CONCATENATE(TEXT(B43+0.1,"0.0"),"C")))</f>
        <v>#N/A</v>
      </c>
      <c r="D45" s="713"/>
      <c r="E45" s="714"/>
      <c r="F45" s="366" t="e">
        <f>IF(OR(BU43,BU44),"COMP. CORE USED","")</f>
        <v>#N/A</v>
      </c>
      <c r="G45" s="344"/>
      <c r="H45" s="280">
        <f>IF(E44="","",AR115)</f>
      </c>
      <c r="I45" s="280">
        <f t="shared" si="4"/>
      </c>
      <c r="J45" s="280">
        <f t="shared" si="5"/>
      </c>
      <c r="K45" s="687" t="str">
        <f t="shared" si="6"/>
        <v> </v>
      </c>
      <c r="L45" s="687"/>
      <c r="M45" s="762" t="e">
        <f>IF($J$10&lt;6,"",(IF(H45="","",IF($D$8="","BID $$ ??",AU115))))</f>
        <v>#N/A</v>
      </c>
      <c r="N45" s="762"/>
      <c r="O45" s="346"/>
      <c r="P45" s="637" t="e">
        <f>+IF($I$52=B43,$N$52,IF($I$48=B43,$N$48,1))</f>
        <v>#N/A</v>
      </c>
      <c r="X45" s="67"/>
      <c r="Y45" s="67"/>
      <c r="BB45" s="618">
        <v>86.89999999999984</v>
      </c>
      <c r="BC45" s="619">
        <v>0.85</v>
      </c>
      <c r="BD45" s="619">
        <v>1</v>
      </c>
      <c r="BE45" s="618">
        <v>86.89999999999984</v>
      </c>
      <c r="BF45" s="619">
        <v>0.5</v>
      </c>
      <c r="BG45" s="619">
        <v>0.98</v>
      </c>
      <c r="BH45" s="623">
        <f t="shared" si="0"/>
        <v>0.85</v>
      </c>
      <c r="BI45" s="623">
        <f t="shared" si="1"/>
        <v>1</v>
      </c>
      <c r="BM45" s="665">
        <f t="shared" si="7"/>
        <v>5</v>
      </c>
      <c r="BN45" s="663" t="s">
        <v>271</v>
      </c>
      <c r="BO45" s="665">
        <f>IF(E45="",0,(E45))</f>
        <v>0</v>
      </c>
      <c r="BP45" s="663">
        <f>IF(((BO43&gt;1.5)*AND(BO43&lt;3))*AND((BO45&gt;1.5)*AND(BO43&lt;3)),1,0)</f>
        <v>0</v>
      </c>
      <c r="BQ45" s="663">
        <f>IF((AND((BP43=1),(OR(((BO43-BO45)&gt;0.03),((BO45-BO43)&gt;0.03))))),0,1)</f>
        <v>1</v>
      </c>
      <c r="BR45" s="661"/>
      <c r="BS45" s="663" t="e">
        <f>IF(((BR43&gt;1.5)*AND(BR43&lt;3))*AND((BO45&gt;1.5)*AND(BO45&lt;3)),BO45,"")</f>
        <v>#N/A</v>
      </c>
      <c r="BT45" s="661"/>
      <c r="BU45" s="663"/>
      <c r="BV45" s="661"/>
      <c r="BW45" s="661"/>
      <c r="BX45" s="661"/>
      <c r="BY45" s="661"/>
      <c r="BZ45" s="661"/>
      <c r="CA45" s="661"/>
      <c r="CB45" s="661"/>
      <c r="CC45" s="661"/>
    </row>
    <row r="46" spans="1:81" ht="15" customHeight="1" thickBot="1">
      <c r="A46" s="740">
        <f>IF(D46="","","Average Core Thickness=")</f>
      </c>
      <c r="B46" s="287"/>
      <c r="C46" s="675" t="e">
        <f>IF(B43="","",(CONCATENATE(TEXT(B43+0.2,"0.0"),"C")))</f>
        <v>#N/A</v>
      </c>
      <c r="D46" s="715">
        <f>IF(D43="","",AVERAGE(D43:D45))</f>
      </c>
      <c r="E46" s="716"/>
      <c r="F46" s="283">
        <f>IF(E43="","",mndot_rounding_3((F43+F44)/2))</f>
      </c>
      <c r="G46" s="360" t="e">
        <f>IF(B43="","","= Ave.Gmb.")</f>
        <v>#N/A</v>
      </c>
      <c r="H46" s="282"/>
      <c r="I46" s="282"/>
      <c r="J46" s="282"/>
      <c r="K46" s="688" t="str">
        <f t="shared" si="6"/>
        <v> </v>
      </c>
      <c r="L46" s="688"/>
      <c r="M46" s="760" t="e">
        <f>IF($J$10&lt;6,"",(IF(H46="","",IF($D$8="","BID $$ ??",AU116))))</f>
        <v>#N/A</v>
      </c>
      <c r="N46" s="760"/>
      <c r="O46" s="393"/>
      <c r="P46" s="637" t="e">
        <f>+IF($I$52=B43,$N$52,IF($I$48=B43,$N$48,1))</f>
        <v>#N/A</v>
      </c>
      <c r="X46" s="67"/>
      <c r="Y46" s="67"/>
      <c r="BB46" s="618">
        <v>86.99999999999983</v>
      </c>
      <c r="BC46" s="619">
        <v>0.91</v>
      </c>
      <c r="BD46" s="619">
        <v>1</v>
      </c>
      <c r="BE46" s="618">
        <v>86.99999999999983</v>
      </c>
      <c r="BF46" s="619">
        <v>0.7</v>
      </c>
      <c r="BG46" s="619">
        <v>0.98</v>
      </c>
      <c r="BH46" s="623">
        <f t="shared" si="0"/>
        <v>0.91</v>
      </c>
      <c r="BI46" s="623">
        <f t="shared" si="1"/>
        <v>1</v>
      </c>
      <c r="BM46" s="665">
        <f t="shared" si="7"/>
        <v>5</v>
      </c>
      <c r="BN46" s="663" t="s">
        <v>271</v>
      </c>
      <c r="BO46" s="665">
        <f>IF(E46="",0,(E46))</f>
        <v>0</v>
      </c>
      <c r="BP46" s="663">
        <f>IF(((BO44&gt;1.5)*AND(BO44&lt;3))*AND((BO46&gt;1.5)*AND(BO46&lt;3)),1,0)</f>
        <v>0</v>
      </c>
      <c r="BQ46" s="663">
        <f>IF((AND((BP44=1),(OR(((BO44-BO46)&gt;0.03),((BO46-BO44)&gt;0.03))))),0,1)</f>
        <v>1</v>
      </c>
      <c r="BR46" s="661"/>
      <c r="BS46" s="663" t="e">
        <f>IF(((BR44&gt;1.5)*AND(BR44&lt;3))*AND((BO46&gt;1.5)*AND(BO46&lt;3)),BO46,"")</f>
        <v>#N/A</v>
      </c>
      <c r="BT46" s="661"/>
      <c r="BU46" s="661"/>
      <c r="BV46" s="661"/>
      <c r="BW46" s="661"/>
      <c r="BX46" s="661"/>
      <c r="BY46" s="661"/>
      <c r="BZ46" s="661"/>
      <c r="CA46" s="661"/>
      <c r="CB46" s="661"/>
      <c r="CC46" s="661"/>
    </row>
    <row r="47" spans="1:81" ht="15" customHeight="1" hidden="1" thickTop="1">
      <c r="A47" s="644"/>
      <c r="B47" s="645"/>
      <c r="C47" s="646" t="s">
        <v>231</v>
      </c>
      <c r="D47" s="647"/>
      <c r="E47" s="648"/>
      <c r="F47" s="649"/>
      <c r="G47" s="650"/>
      <c r="H47" s="653" t="s">
        <v>230</v>
      </c>
      <c r="I47" s="642" t="s">
        <v>370</v>
      </c>
      <c r="J47" s="651"/>
      <c r="K47" s="874" t="s">
        <v>356</v>
      </c>
      <c r="L47" s="803"/>
      <c r="M47" s="643" t="s">
        <v>239</v>
      </c>
      <c r="N47" s="650"/>
      <c r="O47" s="626"/>
      <c r="X47" s="67"/>
      <c r="Y47" s="67"/>
      <c r="BB47" s="618">
        <v>87.09999999999982</v>
      </c>
      <c r="BC47" s="619">
        <v>0.91</v>
      </c>
      <c r="BD47" s="619">
        <v>1</v>
      </c>
      <c r="BE47" s="618">
        <v>87.09999999999982</v>
      </c>
      <c r="BF47" s="619">
        <v>0.7</v>
      </c>
      <c r="BG47" s="619">
        <v>0.98</v>
      </c>
      <c r="BH47" s="623">
        <f t="shared" si="0"/>
        <v>0.91</v>
      </c>
      <c r="BI47" s="623">
        <f t="shared" si="1"/>
        <v>1</v>
      </c>
      <c r="BM47" s="661"/>
      <c r="BN47" s="661"/>
      <c r="BO47" s="661"/>
      <c r="BP47" s="663"/>
      <c r="BQ47" s="663"/>
      <c r="BR47" s="661"/>
      <c r="BS47" s="661"/>
      <c r="BT47" s="661"/>
      <c r="BU47" s="661"/>
      <c r="BV47" s="661"/>
      <c r="BW47" s="661"/>
      <c r="BX47" s="661"/>
      <c r="BY47" s="661"/>
      <c r="BZ47" s="661"/>
      <c r="CA47" s="661"/>
      <c r="CB47" s="661"/>
      <c r="CC47" s="661"/>
    </row>
    <row r="48" spans="1:81" ht="15" customHeight="1" hidden="1">
      <c r="A48" s="343"/>
      <c r="B48" s="633" t="e">
        <f>IF(J10&lt;1,"",IF(I48="","",I48))</f>
        <v>#N/A</v>
      </c>
      <c r="C48" s="625" t="e">
        <f>IF(B48="","",IF(J48="",CONCATENATE(INT(B48)+0.3,"L"),""))</f>
        <v>#N/A</v>
      </c>
      <c r="D48" s="713"/>
      <c r="E48" s="714"/>
      <c r="F48" s="635">
        <f>IF(E48="","",BT48)</f>
      </c>
      <c r="G48" s="344">
        <f>IF(E48="","",mndot_rounding_1((F48/$D$10)*100))</f>
      </c>
      <c r="H48" s="719" t="s">
        <v>328</v>
      </c>
      <c r="I48" s="876"/>
      <c r="J48" s="877"/>
      <c r="K48" s="356">
        <f>IF(H48="no core",1,(IF(H48="confined",(VLOOKUP(G48,BB6:BI152,7)),VLOOKUP(G48,BB6:BI152,8))))</f>
        <v>1</v>
      </c>
      <c r="L48" s="636"/>
      <c r="M48" s="15"/>
      <c r="N48" s="363">
        <f>+K48*K49</f>
        <v>1</v>
      </c>
      <c r="O48" s="346"/>
      <c r="V48" s="1" t="s">
        <v>345</v>
      </c>
      <c r="W48" s="65"/>
      <c r="Y48" s="67"/>
      <c r="BB48" s="618">
        <v>87.19999999999982</v>
      </c>
      <c r="BC48" s="619">
        <v>0.91</v>
      </c>
      <c r="BD48" s="619">
        <v>1</v>
      </c>
      <c r="BE48" s="618">
        <v>87.19999999999982</v>
      </c>
      <c r="BF48" s="619">
        <v>1</v>
      </c>
      <c r="BG48" s="619">
        <v>0.98</v>
      </c>
      <c r="BH48" s="623">
        <f t="shared" si="0"/>
        <v>0.91</v>
      </c>
      <c r="BI48" s="623">
        <f t="shared" si="1"/>
        <v>1</v>
      </c>
      <c r="BM48" s="665" t="e">
        <f>+$B$48</f>
        <v>#N/A</v>
      </c>
      <c r="BN48" s="661" t="s">
        <v>270</v>
      </c>
      <c r="BO48" s="665">
        <f>+E48</f>
        <v>0</v>
      </c>
      <c r="BP48" s="663">
        <f>IF(((BO48&gt;1.5)*AND(BO48&lt;3))*AND((BO50&gt;1.5)*AND(BO48&lt;3)),1,0)</f>
        <v>0</v>
      </c>
      <c r="BQ48" s="663">
        <f>IF((AND((BP48=1),(OR(((BO48-BO50)&gt;0.03),((BO50-BO48)&gt;0.03))))),0,1)</f>
        <v>1</v>
      </c>
      <c r="BR48" s="661" t="e">
        <f>IF(B48="","",(IF(((BO48&gt;1.5)*AND(BO48&lt;3))*(((BQ48=1)*AND(BP48=1))),BO48,"")))</f>
        <v>#N/A</v>
      </c>
      <c r="BS48" s="661"/>
      <c r="BT48" s="661" t="e">
        <f>IF(B48="","",(IF(BQ48=0,BO50,(IF((AND((BR$61=1),(BP48))),BO50,BO48)))))</f>
        <v>#N/A</v>
      </c>
      <c r="BU48" s="661" t="e">
        <f>IF(AND(BP48,((NOT(BO48=BT48)))),1,0)</f>
        <v>#N/A</v>
      </c>
      <c r="BV48" s="661"/>
      <c r="BW48" s="661"/>
      <c r="BX48" s="661"/>
      <c r="BY48" s="661"/>
      <c r="BZ48" s="661"/>
      <c r="CA48" s="661"/>
      <c r="CB48" s="661"/>
      <c r="CC48" s="661"/>
    </row>
    <row r="49" spans="1:81" ht="15" customHeight="1" hidden="1">
      <c r="A49" s="343"/>
      <c r="B49" s="388"/>
      <c r="C49" s="625" t="e">
        <f>IF(B48="","",IF(I49="",CONCATENATE(INT(B48)+0.4,"R"),""))</f>
        <v>#N/A</v>
      </c>
      <c r="D49" s="713"/>
      <c r="E49" s="714"/>
      <c r="F49" s="635">
        <f>IF(E49="","",BT49)</f>
      </c>
      <c r="G49" s="344">
        <f>IF(E49="","",mndot_rounding_1((F49/$D$10)*100))</f>
      </c>
      <c r="H49" s="719" t="s">
        <v>328</v>
      </c>
      <c r="I49" s="809">
        <f>IF(I48="","",IF(X51="No","Incorrect Core #",""))</f>
      </c>
      <c r="J49" s="875"/>
      <c r="K49" s="356">
        <f>IF(H49="no core",1,(IF(H49="confined",(VLOOKUP(G49,BB6:BI152,7)),VLOOKUP(G49,BB6:BI152,8))))</f>
        <v>1</v>
      </c>
      <c r="L49" s="636"/>
      <c r="M49" s="587"/>
      <c r="N49" s="587"/>
      <c r="O49" s="346"/>
      <c r="W49" s="65"/>
      <c r="Y49" s="67"/>
      <c r="BB49" s="618">
        <v>87.29999999999981</v>
      </c>
      <c r="BC49" s="619">
        <v>0.91</v>
      </c>
      <c r="BD49" s="619">
        <v>1</v>
      </c>
      <c r="BE49" s="618">
        <v>87.29999999999981</v>
      </c>
      <c r="BF49" s="619">
        <v>0.7</v>
      </c>
      <c r="BG49" s="619">
        <v>0.98</v>
      </c>
      <c r="BH49" s="623">
        <f t="shared" si="0"/>
        <v>0.91</v>
      </c>
      <c r="BI49" s="623">
        <f t="shared" si="1"/>
        <v>1</v>
      </c>
      <c r="BM49" s="665" t="e">
        <f>+$B$48</f>
        <v>#N/A</v>
      </c>
      <c r="BN49" s="661" t="s">
        <v>270</v>
      </c>
      <c r="BO49" s="665">
        <f>+E49</f>
        <v>0</v>
      </c>
      <c r="BP49" s="663">
        <f>IF(((BO49&gt;1.5)*AND(BO49&lt;3))*AND((BO51&gt;1.5)*AND(BO51&lt;3)),1,0)</f>
        <v>0</v>
      </c>
      <c r="BQ49" s="663">
        <f>IF((AND((BP49=1),(OR(((BO49-BO51)&gt;0.03),((BO51-BO49)&gt;0.03))))),0,1)</f>
        <v>1</v>
      </c>
      <c r="BR49" s="661" t="e">
        <f>IF(B48="","",(IF(((BO49&gt;1.5)*AND(BO49&lt;3))*(((BQ49=1)*AND(BP49=1))),BO49,"")))</f>
        <v>#N/A</v>
      </c>
      <c r="BS49" s="661"/>
      <c r="BT49" s="661" t="e">
        <f>IF(B48="","",(IF(BQ49=0,BO51,(IF((AND((BR$61=1),(BP49))),BO51,BO49)))))</f>
        <v>#N/A</v>
      </c>
      <c r="BU49" s="661" t="e">
        <f>IF(AND(BP49,((NOT(BO49=BT49)))),1,0)</f>
        <v>#N/A</v>
      </c>
      <c r="BV49" s="661"/>
      <c r="BW49" s="661"/>
      <c r="BX49" s="661"/>
      <c r="BY49" s="661"/>
      <c r="BZ49" s="661"/>
      <c r="CA49" s="661"/>
      <c r="CB49" s="661"/>
      <c r="CC49" s="661"/>
    </row>
    <row r="50" spans="1:81" ht="15" customHeight="1" hidden="1">
      <c r="A50" s="343"/>
      <c r="B50" s="388" t="e">
        <f>IF(B48=""," ","COMP 1")</f>
        <v>#N/A</v>
      </c>
      <c r="C50" s="693" t="e">
        <f>IF(C48="","",CONCATENATE(C48,"C"))</f>
        <v>#N/A</v>
      </c>
      <c r="D50" s="713"/>
      <c r="E50" s="714"/>
      <c r="F50" s="366" t="e">
        <f>IF(OR(BU48,BU49),"COMP. CORE USED","")</f>
        <v>#N/A</v>
      </c>
      <c r="G50" s="344"/>
      <c r="H50" s="280"/>
      <c r="I50" s="280"/>
      <c r="J50" s="280"/>
      <c r="K50" s="687"/>
      <c r="L50" s="363"/>
      <c r="M50" s="587"/>
      <c r="N50" s="587"/>
      <c r="O50" s="346"/>
      <c r="V50" s="1" t="s">
        <v>346</v>
      </c>
      <c r="W50" s="65" t="s">
        <v>347</v>
      </c>
      <c r="X50" s="1" t="s">
        <v>348</v>
      </c>
      <c r="Y50" s="67"/>
      <c r="BB50" s="618"/>
      <c r="BC50" s="619"/>
      <c r="BD50" s="619"/>
      <c r="BE50" s="618"/>
      <c r="BF50" s="619"/>
      <c r="BG50" s="619"/>
      <c r="BH50" s="623">
        <f t="shared" si="0"/>
        <v>0</v>
      </c>
      <c r="BI50" s="623">
        <f t="shared" si="1"/>
        <v>0</v>
      </c>
      <c r="BM50" s="665" t="e">
        <f>+$B$48</f>
        <v>#N/A</v>
      </c>
      <c r="BN50" s="661" t="s">
        <v>271</v>
      </c>
      <c r="BO50" s="665">
        <f>IF(E50="",0,(E50))</f>
        <v>0</v>
      </c>
      <c r="BP50" s="663">
        <f>IF(((BO48&gt;1.5)*AND(BO48&lt;3))*AND((BO50&gt;1.5)*AND(BO48&lt;3)),1,0)</f>
        <v>0</v>
      </c>
      <c r="BQ50" s="663">
        <f>IF((AND((BP48=1),(OR(((BO48-BO50)&gt;0.03),((BO50-BO48)&gt;0.03))))),0,1)</f>
        <v>1</v>
      </c>
      <c r="BR50" s="661"/>
      <c r="BS50" s="663" t="e">
        <f>IF(((BR48&gt;1.5)*AND(BR48&lt;3))*AND((BO50&gt;1.5)*AND(BO50&lt;3)),BO50,"")</f>
        <v>#N/A</v>
      </c>
      <c r="BT50" s="661"/>
      <c r="BU50" s="663"/>
      <c r="BV50" s="661"/>
      <c r="BW50" s="661"/>
      <c r="BX50" s="661"/>
      <c r="BY50" s="661"/>
      <c r="BZ50" s="661"/>
      <c r="CA50" s="661"/>
      <c r="CB50" s="661"/>
      <c r="CC50" s="661"/>
    </row>
    <row r="51" spans="1:81" ht="15" customHeight="1" hidden="1">
      <c r="A51" s="741"/>
      <c r="B51" s="627" t="e">
        <f>IF(B48=""," ","COMP 2")</f>
        <v>#N/A</v>
      </c>
      <c r="C51" s="695" t="e">
        <f>IF(C49="","",CONCATENATE(C49,"C"))</f>
        <v>#N/A</v>
      </c>
      <c r="D51" s="717"/>
      <c r="E51" s="718"/>
      <c r="F51" s="628"/>
      <c r="G51" s="634"/>
      <c r="H51" s="629"/>
      <c r="I51" s="629"/>
      <c r="J51" s="629"/>
      <c r="K51" s="697"/>
      <c r="L51" s="630"/>
      <c r="M51" s="631"/>
      <c r="N51" s="631"/>
      <c r="O51" s="632"/>
      <c r="V51" s="12">
        <f>I48</f>
        <v>0</v>
      </c>
      <c r="W51" s="679">
        <f>ROUND(MOD(V51,1),1)</f>
        <v>0</v>
      </c>
      <c r="X51" s="1" t="str">
        <f>IF(OR(W51=0.1,W51=0.2),V51,"No")</f>
        <v>No</v>
      </c>
      <c r="Y51" s="67"/>
      <c r="BB51" s="618">
        <v>87.3999999999998</v>
      </c>
      <c r="BC51" s="619">
        <v>0.91</v>
      </c>
      <c r="BD51" s="619">
        <v>1</v>
      </c>
      <c r="BE51" s="618">
        <v>87.3999999999998</v>
      </c>
      <c r="BF51" s="619">
        <v>0.7</v>
      </c>
      <c r="BG51" s="619">
        <v>0.98</v>
      </c>
      <c r="BH51" s="623">
        <f t="shared" si="0"/>
        <v>0.91</v>
      </c>
      <c r="BI51" s="623">
        <f t="shared" si="1"/>
        <v>1</v>
      </c>
      <c r="BM51" s="665" t="e">
        <f>+$B$48</f>
        <v>#N/A</v>
      </c>
      <c r="BN51" s="661" t="s">
        <v>271</v>
      </c>
      <c r="BO51" s="665">
        <f>IF(E51="",0,(E51))</f>
        <v>0</v>
      </c>
      <c r="BP51" s="663">
        <f>IF(((BO49&gt;1.5)*AND(BO49&lt;3))*AND((BO51&gt;1.5)*AND(BO51&lt;3)),1,0)</f>
        <v>0</v>
      </c>
      <c r="BQ51" s="663">
        <f>IF((AND((BP49=1),(OR(((BO49-BO51)&gt;0.03),((BO51-BO49)&gt;0.03))))),0,1)</f>
        <v>1</v>
      </c>
      <c r="BR51" s="661"/>
      <c r="BS51" s="663" t="e">
        <f>IF(((BR49&gt;1.5)*AND(BR49&lt;3))*AND((BO51&gt;1.5)*AND(BO51&lt;3)),BO51,"")</f>
        <v>#N/A</v>
      </c>
      <c r="BT51" s="661"/>
      <c r="BU51" s="661"/>
      <c r="BV51" s="661"/>
      <c r="BW51" s="661"/>
      <c r="BX51" s="661"/>
      <c r="BY51" s="661"/>
      <c r="BZ51" s="661"/>
      <c r="CA51" s="661"/>
      <c r="CB51" s="661"/>
      <c r="CC51" s="661"/>
    </row>
    <row r="52" spans="1:81" ht="15" customHeight="1" hidden="1">
      <c r="A52" s="343"/>
      <c r="B52" s="633" t="e">
        <f>IF(J10&lt;6,"",IF(I52="","",I52))</f>
        <v>#N/A</v>
      </c>
      <c r="C52" s="625" t="e">
        <f>IF(B52="","",IF(J52="",CONCATENATE(INT(B52)+0.3,"L"),""))</f>
        <v>#N/A</v>
      </c>
      <c r="D52" s="713"/>
      <c r="E52" s="714"/>
      <c r="F52" s="635">
        <f>IF(E52="","",BT52)</f>
      </c>
      <c r="G52" s="344">
        <f>IF(E52="","",mndot_rounding_1((F52/$D$10)*100))</f>
      </c>
      <c r="H52" s="719" t="s">
        <v>328</v>
      </c>
      <c r="I52" s="876"/>
      <c r="J52" s="877"/>
      <c r="K52" s="356">
        <f>IF(H52="no core",1,(IF(H52="confined",(VLOOKUP(G52,BB6:BI152,7)),VLOOKUP(G52,BB6:BI152,8))))</f>
        <v>1</v>
      </c>
      <c r="L52" s="636"/>
      <c r="M52" s="652"/>
      <c r="N52" s="363" t="e">
        <f>+IF(J10&lt;6,1,K52*K53)</f>
        <v>#N/A</v>
      </c>
      <c r="O52" s="346"/>
      <c r="V52" s="12">
        <f>I52</f>
        <v>0</v>
      </c>
      <c r="W52" s="679">
        <f>ROUND(MOD(V52,1),1)</f>
        <v>0</v>
      </c>
      <c r="X52" s="1" t="str">
        <f>IF(OR(W52=0.1,W52=0.2),V52,"No")</f>
        <v>No</v>
      </c>
      <c r="Y52" s="67"/>
      <c r="BB52" s="618">
        <v>87.4999999999998</v>
      </c>
      <c r="BC52" s="619">
        <v>0.95</v>
      </c>
      <c r="BD52" s="619">
        <v>1</v>
      </c>
      <c r="BE52" s="618">
        <v>87.4999999999998</v>
      </c>
      <c r="BF52" s="619">
        <v>0.85</v>
      </c>
      <c r="BG52" s="619">
        <v>1</v>
      </c>
      <c r="BH52" s="623">
        <f t="shared" si="0"/>
        <v>0.95</v>
      </c>
      <c r="BI52" s="623">
        <f t="shared" si="1"/>
        <v>1</v>
      </c>
      <c r="BM52" s="665" t="e">
        <f>+$B$52</f>
        <v>#N/A</v>
      </c>
      <c r="BN52" s="661" t="s">
        <v>270</v>
      </c>
      <c r="BO52" s="665">
        <f>+E52</f>
        <v>0</v>
      </c>
      <c r="BP52" s="663">
        <f>IF(((BO52&gt;1.5)*AND(BO52&lt;3))*AND((BO54&gt;1.5)*AND(BO52&lt;3)),1,0)</f>
        <v>0</v>
      </c>
      <c r="BQ52" s="663">
        <f>IF((AND((BP52=1),(OR(((BO52-BO54)&gt;0.03),((BO54-BO52)&gt;0.03))))),0,1)</f>
        <v>1</v>
      </c>
      <c r="BR52" s="661" t="e">
        <f>IF(B52="","",(IF(((BO52&gt;1.5)*AND(BO52&lt;3))*(((BQ52=1)*AND(BP52=1))),BO52,"")))</f>
        <v>#N/A</v>
      </c>
      <c r="BS52" s="661"/>
      <c r="BT52" s="661" t="e">
        <f>IF(B52="","",(IF(BQ52=0,BO54,(IF((AND((BR$61=1),(BP52))),BO54,BO52)))))</f>
        <v>#N/A</v>
      </c>
      <c r="BU52" s="661" t="e">
        <f>IF(AND(BP52,((NOT(BO52=BT52)))),1,0)</f>
        <v>#N/A</v>
      </c>
      <c r="BV52" s="661"/>
      <c r="BW52" s="661"/>
      <c r="BX52" s="661"/>
      <c r="BY52" s="661"/>
      <c r="BZ52" s="661"/>
      <c r="CA52" s="661"/>
      <c r="CB52" s="661"/>
      <c r="CC52" s="661"/>
    </row>
    <row r="53" spans="1:81" ht="15" customHeight="1" hidden="1">
      <c r="A53" s="343"/>
      <c r="B53" s="388"/>
      <c r="C53" s="625" t="e">
        <f>IF(B52="","",IF(J53="",CONCATENATE(INT(B52)+0.4,"R"),""))</f>
        <v>#N/A</v>
      </c>
      <c r="D53" s="713"/>
      <c r="E53" s="714"/>
      <c r="F53" s="635">
        <f>IF(E53="","",BT53)</f>
      </c>
      <c r="G53" s="344">
        <f>IF(E53="","",mndot_rounding_1((F53/$D$10)*100))</f>
      </c>
      <c r="H53" s="719" t="s">
        <v>328</v>
      </c>
      <c r="I53" s="809">
        <f>IF(I52="","",IF(X52="No","Incorrect Core #",""))</f>
      </c>
      <c r="J53" s="875"/>
      <c r="K53" s="356">
        <f>IF(H53="no core",1,(IF(H53="confined",(VLOOKUP(G53,BB6:BI152,7)),VLOOKUP(G53,BB6:BI152,8))))</f>
        <v>1</v>
      </c>
      <c r="L53" s="636"/>
      <c r="M53" s="587"/>
      <c r="N53" s="587"/>
      <c r="O53" s="346"/>
      <c r="X53" s="67"/>
      <c r="Y53" s="67"/>
      <c r="BB53" s="618">
        <v>87.5999999999998</v>
      </c>
      <c r="BC53" s="619">
        <v>0.95</v>
      </c>
      <c r="BD53" s="619">
        <v>1</v>
      </c>
      <c r="BE53" s="618">
        <v>87.5999999999998</v>
      </c>
      <c r="BF53" s="619">
        <v>0.85</v>
      </c>
      <c r="BG53" s="619">
        <v>1</v>
      </c>
      <c r="BH53" s="623">
        <f t="shared" si="0"/>
        <v>0.95</v>
      </c>
      <c r="BI53" s="623">
        <f t="shared" si="1"/>
        <v>1</v>
      </c>
      <c r="BM53" s="665" t="e">
        <f>+$B$52</f>
        <v>#N/A</v>
      </c>
      <c r="BN53" s="661" t="s">
        <v>270</v>
      </c>
      <c r="BO53" s="665">
        <f>+E53</f>
        <v>0</v>
      </c>
      <c r="BP53" s="663">
        <f>IF(((BO53&gt;1.5)*AND(BO53&lt;3))*AND((BO55&gt;1.5)*AND(BO55&lt;3)),1,0)</f>
        <v>0</v>
      </c>
      <c r="BQ53" s="663">
        <f>IF((AND((BP53=1),(OR(((BO53-BO55)&gt;0.03),((BO55-BO53)&gt;0.03))))),0,1)</f>
        <v>1</v>
      </c>
      <c r="BR53" s="661" t="e">
        <f>IF(B52="","",(IF(((BO53&gt;1.5)*AND(BO53&lt;3))*(((BQ53=1)*AND(BP53=1))),BO53,"")))</f>
        <v>#N/A</v>
      </c>
      <c r="BS53" s="661"/>
      <c r="BT53" s="661" t="e">
        <f>IF(B52="","",(IF(BQ53=0,BO55,(IF((AND((BR$61=1),(BP53))),BO55,BO53)))))</f>
        <v>#N/A</v>
      </c>
      <c r="BU53" s="661" t="e">
        <f>IF(AND(BP53,((NOT(BO53=BT53)))),1,0)</f>
        <v>#N/A</v>
      </c>
      <c r="BV53" s="661"/>
      <c r="BW53" s="661"/>
      <c r="BX53" s="661"/>
      <c r="BY53" s="661"/>
      <c r="BZ53" s="661"/>
      <c r="CA53" s="661"/>
      <c r="CB53" s="661"/>
      <c r="CC53" s="661"/>
    </row>
    <row r="54" spans="1:81" ht="15" customHeight="1" hidden="1">
      <c r="A54" s="343"/>
      <c r="B54" s="388" t="e">
        <f>IF(B52=""," ","COMP 1")</f>
        <v>#N/A</v>
      </c>
      <c r="C54" s="693" t="e">
        <f>IF(C52="","",CONCATENATE(C52,"C"))</f>
        <v>#N/A</v>
      </c>
      <c r="D54" s="713"/>
      <c r="E54" s="714"/>
      <c r="F54" s="366" t="e">
        <f>IF(OR(BU52,BU53),"COMP. CORE USED","")</f>
        <v>#N/A</v>
      </c>
      <c r="G54" s="344"/>
      <c r="H54" s="280"/>
      <c r="I54" s="280"/>
      <c r="J54" s="280"/>
      <c r="K54" s="687"/>
      <c r="L54" s="363"/>
      <c r="M54" s="587"/>
      <c r="N54" s="587"/>
      <c r="O54" s="346"/>
      <c r="X54" s="67"/>
      <c r="Y54" s="67"/>
      <c r="BB54" s="618">
        <v>87.69999999999979</v>
      </c>
      <c r="BC54" s="619">
        <v>0.95</v>
      </c>
      <c r="BD54" s="619">
        <v>1</v>
      </c>
      <c r="BE54" s="618">
        <v>87.69999999999979</v>
      </c>
      <c r="BF54" s="619">
        <v>0.85</v>
      </c>
      <c r="BG54" s="619">
        <v>1</v>
      </c>
      <c r="BH54" s="623">
        <f t="shared" si="0"/>
        <v>0.95</v>
      </c>
      <c r="BI54" s="623">
        <f t="shared" si="1"/>
        <v>1</v>
      </c>
      <c r="BM54" s="665" t="e">
        <f>+$B$52</f>
        <v>#N/A</v>
      </c>
      <c r="BN54" s="661" t="s">
        <v>271</v>
      </c>
      <c r="BO54" s="665">
        <f>IF(E54="",0,(E54))</f>
        <v>0</v>
      </c>
      <c r="BP54" s="663">
        <f>IF(((BO52&gt;1.5)*AND(BO52&lt;3))*AND((BO54&gt;1.5)*AND(BO52&lt;3)),1,0)</f>
        <v>0</v>
      </c>
      <c r="BQ54" s="663">
        <f>IF((AND((BP52=1),(OR(((BO52-BO54)&gt;0.03),((BO54-BO52)&gt;0.03))))),0,1)</f>
        <v>1</v>
      </c>
      <c r="BR54" s="661"/>
      <c r="BS54" s="663" t="e">
        <f>IF(((BR52&gt;1.5)*AND(BR52&lt;3))*AND((BO54&gt;1.5)*AND(BO54&lt;3)),BO54,"")</f>
        <v>#N/A</v>
      </c>
      <c r="BT54" s="661"/>
      <c r="BU54" s="663"/>
      <c r="BV54" s="661"/>
      <c r="BW54" s="661"/>
      <c r="BX54" s="661"/>
      <c r="BY54" s="661"/>
      <c r="BZ54" s="661"/>
      <c r="CA54" s="661"/>
      <c r="CB54" s="661"/>
      <c r="CC54" s="661"/>
    </row>
    <row r="55" spans="1:81" ht="15" customHeight="1" hidden="1" thickBot="1">
      <c r="A55" s="740">
        <f>IF(D55="","","Average Core Thickness=")</f>
      </c>
      <c r="B55" s="677" t="e">
        <f>IF(B52=""," ","COMP 2")</f>
        <v>#N/A</v>
      </c>
      <c r="C55" s="694" t="e">
        <f>IF(C53="","",CONCATENATE(C53,"C"))</f>
        <v>#N/A</v>
      </c>
      <c r="D55" s="715">
        <f>IF(D52="","",AVERAGE(D52:D54))</f>
      </c>
      <c r="E55" s="716"/>
      <c r="F55" s="283"/>
      <c r="G55" s="360"/>
      <c r="H55" s="282">
        <f>IF(E44="","",AR116)</f>
      </c>
      <c r="I55" s="282">
        <f>IF(H55="","",AS116)</f>
      </c>
      <c r="J55" s="282">
        <f>IF($G$8="","",IF(I55="","",(I55*($G$9/$N$10))))</f>
      </c>
      <c r="K55" s="688" t="str">
        <f>IF(H55=""," ",AV116)</f>
        <v> </v>
      </c>
      <c r="L55" s="369"/>
      <c r="M55" s="760" t="e">
        <f>IF(J10&lt;6,"",(IF(H55="","",IF($D$8="","BID $$ ??",AU116))))</f>
        <v>#N/A</v>
      </c>
      <c r="N55" s="760"/>
      <c r="O55" s="393"/>
      <c r="X55" s="67"/>
      <c r="Y55" s="67"/>
      <c r="BB55" s="618">
        <v>87.79999999999978</v>
      </c>
      <c r="BC55" s="619">
        <v>0.95</v>
      </c>
      <c r="BD55" s="619">
        <v>1</v>
      </c>
      <c r="BE55" s="618">
        <v>87.79999999999978</v>
      </c>
      <c r="BF55" s="619">
        <v>0.85</v>
      </c>
      <c r="BG55" s="619">
        <v>1</v>
      </c>
      <c r="BH55" s="623">
        <f t="shared" si="0"/>
        <v>0.95</v>
      </c>
      <c r="BI55" s="623">
        <f t="shared" si="1"/>
        <v>1</v>
      </c>
      <c r="BM55" s="665" t="e">
        <f>+$B$52</f>
        <v>#N/A</v>
      </c>
      <c r="BN55" s="661" t="s">
        <v>271</v>
      </c>
      <c r="BO55" s="665">
        <f>IF(E55="",0,(E55))</f>
        <v>0</v>
      </c>
      <c r="BP55" s="663">
        <f>IF(((BO53&gt;1.5)*AND(BO53&lt;3))*AND((BO55&gt;1.5)*AND(BO55&lt;3)),1,0)</f>
        <v>0</v>
      </c>
      <c r="BQ55" s="663">
        <f>IF((AND((BP53=1),(OR(((BO53-BO55)&gt;0.03),((BO55-BO53)&gt;0.03))))),0,1)</f>
        <v>1</v>
      </c>
      <c r="BR55" s="661"/>
      <c r="BS55" s="663" t="e">
        <f>IF(((BR53&gt;1.5)*AND(BR53&lt;3))*AND((BO55&gt;1.5)*AND(BO55&lt;3)),BO55,"")</f>
        <v>#N/A</v>
      </c>
      <c r="BT55" s="661"/>
      <c r="BU55" s="661"/>
      <c r="BV55" s="661"/>
      <c r="BW55" s="661"/>
      <c r="BX55" s="661"/>
      <c r="BY55" s="661"/>
      <c r="BZ55" s="661"/>
      <c r="CA55" s="661"/>
      <c r="CB55" s="661"/>
      <c r="CC55" s="661"/>
    </row>
    <row r="56" spans="1:81" s="269" customFormat="1" ht="12.75" customHeight="1" thickTop="1">
      <c r="A56" s="373"/>
      <c r="B56" s="773" t="s">
        <v>174</v>
      </c>
      <c r="C56" s="773"/>
      <c r="D56" s="787"/>
      <c r="E56" s="787"/>
      <c r="F56" s="773" t="s">
        <v>175</v>
      </c>
      <c r="G56" s="773"/>
      <c r="H56" s="774"/>
      <c r="I56" s="774"/>
      <c r="J56" s="246"/>
      <c r="K56" s="884" t="s">
        <v>35</v>
      </c>
      <c r="L56" s="885"/>
      <c r="M56" s="885"/>
      <c r="N56" s="885"/>
      <c r="O56" s="886"/>
      <c r="P56" s="272"/>
      <c r="Q56" s="561"/>
      <c r="R56" s="272"/>
      <c r="S56" s="272"/>
      <c r="T56" s="272"/>
      <c r="X56" s="271"/>
      <c r="Y56" s="271"/>
      <c r="AA56" s="270"/>
      <c r="BB56" s="618">
        <v>87.89999999999978</v>
      </c>
      <c r="BC56" s="619">
        <v>0.95</v>
      </c>
      <c r="BD56" s="619">
        <v>1</v>
      </c>
      <c r="BE56" s="618">
        <v>87.89999999999978</v>
      </c>
      <c r="BF56" s="619">
        <v>0.85</v>
      </c>
      <c r="BG56" s="619">
        <v>1</v>
      </c>
      <c r="BH56" s="623">
        <f t="shared" si="0"/>
        <v>0.95</v>
      </c>
      <c r="BI56" s="623">
        <f t="shared" si="1"/>
        <v>1</v>
      </c>
      <c r="BM56" s="661"/>
      <c r="BN56" s="661"/>
      <c r="BO56" s="661"/>
      <c r="BP56" s="661"/>
      <c r="BQ56" s="661"/>
      <c r="BR56" s="661"/>
      <c r="BS56" s="661"/>
      <c r="BT56" s="661"/>
      <c r="BU56" s="661"/>
      <c r="BV56" s="661"/>
      <c r="BW56" s="661"/>
      <c r="BX56" s="661"/>
      <c r="BY56" s="661"/>
      <c r="BZ56" s="661"/>
      <c r="CA56" s="661"/>
      <c r="CB56" s="661"/>
      <c r="CC56" s="661"/>
    </row>
    <row r="57" spans="1:81" s="269" customFormat="1" ht="14.25" customHeight="1" thickBot="1">
      <c r="A57" s="373"/>
      <c r="B57" s="773" t="s">
        <v>129</v>
      </c>
      <c r="C57" s="773"/>
      <c r="D57" s="872"/>
      <c r="E57" s="872"/>
      <c r="F57" s="772" t="s">
        <v>39</v>
      </c>
      <c r="G57" s="772"/>
      <c r="H57" s="774"/>
      <c r="I57" s="774"/>
      <c r="J57" s="246"/>
      <c r="K57" s="378" t="s">
        <v>181</v>
      </c>
      <c r="L57" s="691"/>
      <c r="M57" s="756" t="str">
        <f>IF(D8="","BID $$ ??",SUM(M23:M45))</f>
        <v>BID $$ ??</v>
      </c>
      <c r="N57" s="756"/>
      <c r="O57" s="757"/>
      <c r="P57" s="272"/>
      <c r="Q57" s="561"/>
      <c r="R57" s="272"/>
      <c r="S57" s="272"/>
      <c r="T57" s="272"/>
      <c r="X57" s="271"/>
      <c r="Y57" s="271"/>
      <c r="AA57" s="270"/>
      <c r="BB57" s="618">
        <v>87.99999999999977</v>
      </c>
      <c r="BC57" s="619">
        <v>0.98</v>
      </c>
      <c r="BD57" s="619">
        <v>1</v>
      </c>
      <c r="BE57" s="618">
        <v>87.99999999999977</v>
      </c>
      <c r="BF57" s="619">
        <v>0.91</v>
      </c>
      <c r="BG57" s="619">
        <v>1</v>
      </c>
      <c r="BH57" s="623">
        <f t="shared" si="0"/>
        <v>0.98</v>
      </c>
      <c r="BI57" s="623">
        <f t="shared" si="1"/>
        <v>1</v>
      </c>
      <c r="BM57" s="664"/>
      <c r="BN57" s="664"/>
      <c r="BO57" s="664"/>
      <c r="BP57" s="664"/>
      <c r="BQ57" s="664"/>
      <c r="BR57" s="664"/>
      <c r="BS57" s="664"/>
      <c r="BT57" s="664"/>
      <c r="BU57" s="664"/>
      <c r="BV57" s="664"/>
      <c r="BW57" s="664"/>
      <c r="BX57" s="664"/>
      <c r="BY57" s="664"/>
      <c r="BZ57" s="664"/>
      <c r="CA57" s="664"/>
      <c r="CB57" s="664"/>
      <c r="CC57" s="664"/>
    </row>
    <row r="58" spans="1:81" s="269" customFormat="1" ht="14.25" customHeight="1" thickBot="1">
      <c r="A58" s="373"/>
      <c r="B58" s="773" t="s">
        <v>176</v>
      </c>
      <c r="C58" s="773"/>
      <c r="D58" s="887" t="e">
        <f>AVERAGE(F26,F30,F34,F38,F42,F55)*62.4</f>
        <v>#DIV/0!</v>
      </c>
      <c r="E58" s="887"/>
      <c r="F58" s="773" t="s">
        <v>137</v>
      </c>
      <c r="G58" s="773"/>
      <c r="H58" s="888" t="e">
        <f>D58*0.75</f>
        <v>#DIV/0!</v>
      </c>
      <c r="I58" s="888"/>
      <c r="J58" s="374"/>
      <c r="K58" s="894" t="str">
        <f>IF(K75="no","","Weighted Average Air Voids")</f>
        <v>Weighted Average Air Voids</v>
      </c>
      <c r="L58" s="894"/>
      <c r="M58" s="894"/>
      <c r="N58" s="894"/>
      <c r="O58" s="895"/>
      <c r="P58" s="562"/>
      <c r="Q58" s="561"/>
      <c r="R58" s="459"/>
      <c r="S58" s="506"/>
      <c r="T58" s="506"/>
      <c r="X58" s="271"/>
      <c r="Y58" s="271"/>
      <c r="AA58" s="270"/>
      <c r="BB58" s="618">
        <v>88.09999999999977</v>
      </c>
      <c r="BC58" s="619">
        <v>0.98</v>
      </c>
      <c r="BD58" s="619">
        <v>1</v>
      </c>
      <c r="BE58" s="618">
        <v>88.09999999999977</v>
      </c>
      <c r="BF58" s="619">
        <v>0.91</v>
      </c>
      <c r="BG58" s="619">
        <v>1</v>
      </c>
      <c r="BH58" s="623">
        <f t="shared" si="0"/>
        <v>0.98</v>
      </c>
      <c r="BI58" s="623">
        <f t="shared" si="1"/>
        <v>1</v>
      </c>
      <c r="BM58" s="664"/>
      <c r="BN58" s="664"/>
      <c r="BO58" s="664"/>
      <c r="BP58" s="664"/>
      <c r="BQ58" s="664"/>
      <c r="BR58" s="668" t="e">
        <f>AVERAGE(BR23:BR54)</f>
        <v>#N/A</v>
      </c>
      <c r="BS58" s="664" t="e">
        <f>AVERAGE(BS23:BS53)</f>
        <v>#N/A</v>
      </c>
      <c r="BT58" s="664"/>
      <c r="BU58" s="664"/>
      <c r="BV58" s="664"/>
      <c r="BW58" s="664"/>
      <c r="BX58" s="664"/>
      <c r="BY58" s="664"/>
      <c r="BZ58" s="664"/>
      <c r="CA58" s="664"/>
      <c r="CB58" s="664"/>
      <c r="CC58" s="664"/>
    </row>
    <row r="59" spans="1:81" s="269" customFormat="1" ht="6" customHeight="1" thickTop="1">
      <c r="A59" s="373"/>
      <c r="B59" s="335"/>
      <c r="C59" s="375"/>
      <c r="D59" s="375"/>
      <c r="E59" s="375"/>
      <c r="F59" s="375"/>
      <c r="G59" s="375"/>
      <c r="H59" s="375"/>
      <c r="I59" s="375"/>
      <c r="J59" s="375"/>
      <c r="K59" s="375"/>
      <c r="L59" s="375"/>
      <c r="M59" s="375"/>
      <c r="N59" s="375"/>
      <c r="O59" s="346"/>
      <c r="P59" s="561"/>
      <c r="Q59" s="563"/>
      <c r="R59" s="893"/>
      <c r="S59" s="893"/>
      <c r="T59" s="893"/>
      <c r="X59" s="272"/>
      <c r="Y59" s="272"/>
      <c r="AA59" s="270"/>
      <c r="BB59" s="618">
        <v>88.19999999999976</v>
      </c>
      <c r="BC59" s="619">
        <v>0.98</v>
      </c>
      <c r="BD59" s="619">
        <v>1</v>
      </c>
      <c r="BE59" s="618">
        <v>88.19999999999976</v>
      </c>
      <c r="BF59" s="619">
        <v>0.91</v>
      </c>
      <c r="BG59" s="619">
        <v>1</v>
      </c>
      <c r="BH59" s="623">
        <f t="shared" si="0"/>
        <v>0.98</v>
      </c>
      <c r="BI59" s="623">
        <f t="shared" si="1"/>
        <v>1</v>
      </c>
      <c r="BM59" s="664"/>
      <c r="BN59" s="664"/>
      <c r="BO59" s="664"/>
      <c r="BP59" s="664"/>
      <c r="BQ59" s="666"/>
      <c r="BR59" s="670" t="s">
        <v>290</v>
      </c>
      <c r="BS59" s="667"/>
      <c r="BT59" s="664"/>
      <c r="BU59" s="664"/>
      <c r="BV59" s="664"/>
      <c r="BW59" s="664"/>
      <c r="BX59" s="664"/>
      <c r="BY59" s="664"/>
      <c r="BZ59" s="664"/>
      <c r="CA59" s="664"/>
      <c r="CB59" s="664"/>
      <c r="CC59" s="664"/>
    </row>
    <row r="60" spans="1:81" s="385" customFormat="1" ht="18" customHeight="1">
      <c r="A60" s="383"/>
      <c r="B60" s="335" t="s">
        <v>41</v>
      </c>
      <c r="C60" s="897"/>
      <c r="D60" s="898"/>
      <c r="E60" s="898"/>
      <c r="F60" s="898"/>
      <c r="G60" s="898"/>
      <c r="H60" s="898"/>
      <c r="I60" s="898"/>
      <c r="J60" s="898"/>
      <c r="K60" s="898"/>
      <c r="L60" s="898"/>
      <c r="M60" s="898"/>
      <c r="N60" s="899"/>
      <c r="O60" s="392"/>
      <c r="P60" s="564"/>
      <c r="Q60" s="565"/>
      <c r="R60" s="892"/>
      <c r="S60" s="892"/>
      <c r="T60" s="566"/>
      <c r="U60" s="11"/>
      <c r="X60" s="11"/>
      <c r="Y60" s="11"/>
      <c r="AA60" s="386"/>
      <c r="BB60" s="618">
        <v>88.29999999999976</v>
      </c>
      <c r="BC60" s="619">
        <v>0.98</v>
      </c>
      <c r="BD60" s="619">
        <v>1</v>
      </c>
      <c r="BE60" s="618">
        <v>88.29999999999976</v>
      </c>
      <c r="BF60" s="619">
        <v>0.91</v>
      </c>
      <c r="BG60" s="619">
        <v>1</v>
      </c>
      <c r="BH60" s="623">
        <f t="shared" si="0"/>
        <v>0.98</v>
      </c>
      <c r="BI60" s="623">
        <f t="shared" si="1"/>
        <v>1</v>
      </c>
      <c r="BM60" s="664"/>
      <c r="BN60" s="664"/>
      <c r="BO60" s="664"/>
      <c r="BP60" s="664"/>
      <c r="BQ60" s="666"/>
      <c r="BR60" s="671" t="s">
        <v>287</v>
      </c>
      <c r="BS60" s="664"/>
      <c r="BT60" s="664"/>
      <c r="BU60" s="664"/>
      <c r="BV60" s="664"/>
      <c r="BW60" s="664"/>
      <c r="BX60" s="664"/>
      <c r="BY60" s="664"/>
      <c r="BZ60" s="664"/>
      <c r="CA60" s="664"/>
      <c r="CB60" s="664"/>
      <c r="CC60" s="664"/>
    </row>
    <row r="61" spans="1:81" s="385" customFormat="1" ht="18" customHeight="1" thickBot="1">
      <c r="A61" s="383"/>
      <c r="B61" s="582" t="e">
        <f>+H77</f>
        <v>#VALUE!</v>
      </c>
      <c r="C61" s="900"/>
      <c r="D61" s="901"/>
      <c r="E61" s="901"/>
      <c r="F61" s="901"/>
      <c r="G61" s="901"/>
      <c r="H61" s="901"/>
      <c r="I61" s="901"/>
      <c r="J61" s="901"/>
      <c r="K61" s="901"/>
      <c r="L61" s="901"/>
      <c r="M61" s="901"/>
      <c r="N61" s="902"/>
      <c r="O61" s="392"/>
      <c r="P61" s="564"/>
      <c r="Q61" s="565"/>
      <c r="R61" s="564"/>
      <c r="S61" s="564"/>
      <c r="T61" s="566"/>
      <c r="U61" s="11"/>
      <c r="X61" s="11"/>
      <c r="Y61" s="11"/>
      <c r="AA61" s="386"/>
      <c r="BB61" s="618">
        <v>88.39999999999975</v>
      </c>
      <c r="BC61" s="619">
        <v>0.98</v>
      </c>
      <c r="BD61" s="619">
        <v>1</v>
      </c>
      <c r="BE61" s="618">
        <v>88.39999999999975</v>
      </c>
      <c r="BF61" s="619">
        <v>0.91</v>
      </c>
      <c r="BG61" s="619">
        <v>1</v>
      </c>
      <c r="BH61" s="623">
        <f t="shared" si="0"/>
        <v>0.98</v>
      </c>
      <c r="BI61" s="623">
        <f t="shared" si="1"/>
        <v>1</v>
      </c>
      <c r="BM61" s="664"/>
      <c r="BN61" s="664"/>
      <c r="BO61" s="664"/>
      <c r="BP61" s="664"/>
      <c r="BQ61" s="666"/>
      <c r="BR61" s="672" t="str">
        <f>"IF(BR62=0,0,(IF(ABS(BS58-BR58)&gt;(0.03/(BR62^0.5)),1,0)))"</f>
        <v>IF(BR62=0,0,(IF(ABS(BS58-BR58)&gt;(0.03/(BR62^0.5)),1,0)))</v>
      </c>
      <c r="BS61" s="667"/>
      <c r="BT61" s="664"/>
      <c r="BU61" s="664"/>
      <c r="BV61" s="664"/>
      <c r="BW61" s="664"/>
      <c r="BX61" s="664"/>
      <c r="BY61" s="664"/>
      <c r="BZ61" s="664"/>
      <c r="CA61" s="664"/>
      <c r="CB61" s="664"/>
      <c r="CC61" s="664"/>
    </row>
    <row r="62" spans="1:81" s="385" customFormat="1" ht="18" customHeight="1" thickTop="1">
      <c r="A62" s="383"/>
      <c r="B62" s="335"/>
      <c r="C62" s="900"/>
      <c r="D62" s="901"/>
      <c r="E62" s="901"/>
      <c r="F62" s="901"/>
      <c r="G62" s="901"/>
      <c r="H62" s="901"/>
      <c r="I62" s="901"/>
      <c r="J62" s="901"/>
      <c r="K62" s="901"/>
      <c r="L62" s="901"/>
      <c r="M62" s="901"/>
      <c r="N62" s="902"/>
      <c r="O62" s="392"/>
      <c r="P62" s="564"/>
      <c r="Q62" s="565"/>
      <c r="R62" s="564"/>
      <c r="S62" s="564"/>
      <c r="T62" s="566"/>
      <c r="U62" s="11"/>
      <c r="X62" s="11"/>
      <c r="Y62" s="11"/>
      <c r="AA62" s="386"/>
      <c r="BB62" s="618">
        <v>88.49999999999974</v>
      </c>
      <c r="BC62" s="619">
        <v>0.98</v>
      </c>
      <c r="BD62" s="619">
        <v>1</v>
      </c>
      <c r="BE62" s="618">
        <v>88.49999999999974</v>
      </c>
      <c r="BF62" s="619">
        <v>0.95</v>
      </c>
      <c r="BG62" s="619">
        <v>1</v>
      </c>
      <c r="BH62" s="623">
        <f t="shared" si="0"/>
        <v>0.98</v>
      </c>
      <c r="BI62" s="623">
        <f t="shared" si="1"/>
        <v>1</v>
      </c>
      <c r="BM62" s="664"/>
      <c r="BN62" s="664"/>
      <c r="BO62" s="664"/>
      <c r="BP62" s="664"/>
      <c r="BQ62" s="673" t="s">
        <v>291</v>
      </c>
      <c r="BR62" s="669">
        <f>COUNT(BR23:BR56)</f>
        <v>0</v>
      </c>
      <c r="BS62" s="669">
        <f>COUNT(BS23:BS55)</f>
        <v>0</v>
      </c>
      <c r="BT62" s="664"/>
      <c r="BU62" s="664"/>
      <c r="BV62" s="664"/>
      <c r="BW62" s="664"/>
      <c r="BX62" s="664"/>
      <c r="BY62" s="664"/>
      <c r="BZ62" s="664"/>
      <c r="CA62" s="664"/>
      <c r="CB62" s="664"/>
      <c r="CC62" s="664"/>
    </row>
    <row r="63" spans="1:61" s="385" customFormat="1" ht="18" customHeight="1">
      <c r="A63" s="383"/>
      <c r="B63" s="384"/>
      <c r="C63" s="903"/>
      <c r="D63" s="904"/>
      <c r="E63" s="904"/>
      <c r="F63" s="904"/>
      <c r="G63" s="904"/>
      <c r="H63" s="904"/>
      <c r="I63" s="904"/>
      <c r="J63" s="904"/>
      <c r="K63" s="904"/>
      <c r="L63" s="904"/>
      <c r="M63" s="904"/>
      <c r="N63" s="905"/>
      <c r="O63" s="128"/>
      <c r="P63" s="11"/>
      <c r="Q63" s="11"/>
      <c r="R63" s="11"/>
      <c r="S63" s="11"/>
      <c r="T63" s="397"/>
      <c r="U63" s="387"/>
      <c r="V63" s="387"/>
      <c r="W63" s="387"/>
      <c r="X63" s="387"/>
      <c r="Y63" s="387"/>
      <c r="AA63" s="386"/>
      <c r="BB63" s="618">
        <v>88.59999999999974</v>
      </c>
      <c r="BC63" s="619">
        <v>0.98</v>
      </c>
      <c r="BD63" s="619">
        <v>1</v>
      </c>
      <c r="BE63" s="618">
        <v>88.59999999999974</v>
      </c>
      <c r="BF63" s="619">
        <v>0.95</v>
      </c>
      <c r="BG63" s="619">
        <v>1</v>
      </c>
      <c r="BH63" s="623">
        <f t="shared" si="0"/>
        <v>0.98</v>
      </c>
      <c r="BI63" s="623">
        <f t="shared" si="1"/>
        <v>1</v>
      </c>
    </row>
    <row r="64" spans="1:65" s="269" customFormat="1" ht="17.25" customHeight="1">
      <c r="A64" s="373"/>
      <c r="B64" s="375"/>
      <c r="C64" s="896">
        <f>IF(AK88=1,"Maximum Density Acceptance Using 1% Reduced Table (2360.6-B4A)","")</f>
      </c>
      <c r="D64" s="896"/>
      <c r="E64" s="896"/>
      <c r="F64" s="896"/>
      <c r="G64" s="896"/>
      <c r="H64" s="896"/>
      <c r="I64" s="896"/>
      <c r="J64" s="896"/>
      <c r="K64" s="896"/>
      <c r="L64" s="896"/>
      <c r="M64" s="896"/>
      <c r="N64" s="896"/>
      <c r="O64" s="379"/>
      <c r="P64" s="561"/>
      <c r="Q64" s="561"/>
      <c r="R64" s="561"/>
      <c r="S64" s="561"/>
      <c r="T64" s="398"/>
      <c r="U64" s="276"/>
      <c r="V64" s="276"/>
      <c r="W64" s="276"/>
      <c r="X64" s="276"/>
      <c r="Y64" s="276"/>
      <c r="AA64" s="270"/>
      <c r="BB64" s="618">
        <v>88.69999999999973</v>
      </c>
      <c r="BC64" s="619">
        <v>0.98</v>
      </c>
      <c r="BD64" s="619">
        <v>1</v>
      </c>
      <c r="BE64" s="618">
        <v>88.69999999999973</v>
      </c>
      <c r="BF64" s="619">
        <v>0.95</v>
      </c>
      <c r="BG64" s="619">
        <v>1</v>
      </c>
      <c r="BH64" s="623">
        <f t="shared" si="0"/>
        <v>0.98</v>
      </c>
      <c r="BI64" s="623">
        <f t="shared" si="1"/>
        <v>1</v>
      </c>
      <c r="BM64" s="744" t="s">
        <v>385</v>
      </c>
    </row>
    <row r="65" spans="1:61" ht="17.25" customHeight="1" thickBot="1">
      <c r="A65" s="308"/>
      <c r="B65" s="311"/>
      <c r="C65" s="311"/>
      <c r="D65" s="311"/>
      <c r="E65" s="311"/>
      <c r="F65" s="311"/>
      <c r="G65" s="739"/>
      <c r="H65" s="310"/>
      <c r="I65" s="310"/>
      <c r="J65" s="310"/>
      <c r="K65" s="310"/>
      <c r="L65" s="310"/>
      <c r="M65" s="310"/>
      <c r="N65" s="310"/>
      <c r="O65" s="742"/>
      <c r="P65" s="278"/>
      <c r="Q65" s="278"/>
      <c r="R65" s="278"/>
      <c r="S65" s="7"/>
      <c r="T65" s="73"/>
      <c r="U65" s="73"/>
      <c r="V65" s="73"/>
      <c r="W65" s="73"/>
      <c r="X65" s="73"/>
      <c r="Y65" s="73"/>
      <c r="AN65" s="65"/>
      <c r="AO65" s="65"/>
      <c r="AP65" s="65"/>
      <c r="AQ65" s="65"/>
      <c r="AR65" s="65"/>
      <c r="AS65" s="65"/>
      <c r="AT65" s="65"/>
      <c r="BB65" s="618">
        <v>88.79999999999973</v>
      </c>
      <c r="BC65" s="619">
        <v>0.98</v>
      </c>
      <c r="BD65" s="619">
        <v>1</v>
      </c>
      <c r="BE65" s="618">
        <v>88.79999999999973</v>
      </c>
      <c r="BF65" s="619">
        <v>0.95</v>
      </c>
      <c r="BG65" s="619">
        <v>1</v>
      </c>
      <c r="BH65" s="623">
        <f t="shared" si="0"/>
        <v>0.98</v>
      </c>
      <c r="BI65" s="623">
        <f t="shared" si="1"/>
        <v>1</v>
      </c>
    </row>
    <row r="66" spans="5:61" ht="12.75" customHeight="1" hidden="1" thickBot="1">
      <c r="E66" s="7"/>
      <c r="F66" s="7"/>
      <c r="G66" s="136"/>
      <c r="H66" s="277"/>
      <c r="I66" s="754"/>
      <c r="J66" s="754"/>
      <c r="K66" s="754"/>
      <c r="L66" s="683"/>
      <c r="M66" s="278"/>
      <c r="N66" s="278"/>
      <c r="O66" s="278"/>
      <c r="P66" s="278"/>
      <c r="Q66" s="278"/>
      <c r="R66" s="278"/>
      <c r="S66" s="7"/>
      <c r="T66" s="73"/>
      <c r="U66" s="73"/>
      <c r="V66" s="73"/>
      <c r="W66" s="73"/>
      <c r="X66" s="73"/>
      <c r="Y66" s="73"/>
      <c r="AN66" s="88"/>
      <c r="AO66" s="88"/>
      <c r="AP66" s="136"/>
      <c r="AQ66" s="136"/>
      <c r="AR66" s="137"/>
      <c r="AS66" s="136"/>
      <c r="AT66" s="136"/>
      <c r="BB66" s="618">
        <v>88.89999999999972</v>
      </c>
      <c r="BC66" s="619">
        <v>0.98</v>
      </c>
      <c r="BD66" s="619">
        <v>1</v>
      </c>
      <c r="BE66" s="618">
        <v>88.89999999999972</v>
      </c>
      <c r="BF66" s="619">
        <v>0.95</v>
      </c>
      <c r="BG66" s="619">
        <v>1</v>
      </c>
      <c r="BH66" s="623">
        <f t="shared" si="0"/>
        <v>0.98</v>
      </c>
      <c r="BI66" s="623">
        <f t="shared" si="1"/>
        <v>1</v>
      </c>
    </row>
    <row r="67" spans="4:61" ht="12.75" customHeight="1" hidden="1">
      <c r="D67" s="539" t="s">
        <v>216</v>
      </c>
      <c r="E67" s="540"/>
      <c r="F67" s="541"/>
      <c r="G67" s="542"/>
      <c r="H67" s="540"/>
      <c r="I67" s="555"/>
      <c r="J67" s="555"/>
      <c r="K67" s="540"/>
      <c r="L67" s="540"/>
      <c r="M67" s="552"/>
      <c r="N67" s="278"/>
      <c r="P67" s="278"/>
      <c r="Q67" s="278"/>
      <c r="R67" s="278"/>
      <c r="S67" s="7"/>
      <c r="T67" s="73"/>
      <c r="U67" s="73"/>
      <c r="V67" s="73"/>
      <c r="W67" s="73"/>
      <c r="X67" s="73"/>
      <c r="Y67" s="73"/>
      <c r="AN67" s="88"/>
      <c r="AO67" s="88"/>
      <c r="AP67" s="88"/>
      <c r="AQ67" s="88"/>
      <c r="AR67" s="88"/>
      <c r="AS67" s="138"/>
      <c r="AT67" s="88"/>
      <c r="BB67" s="618">
        <v>88.99999999999972</v>
      </c>
      <c r="BC67" s="619">
        <v>1</v>
      </c>
      <c r="BD67" s="619">
        <v>1</v>
      </c>
      <c r="BE67" s="618">
        <v>88.99999999999972</v>
      </c>
      <c r="BF67" s="619">
        <v>0.98</v>
      </c>
      <c r="BG67" s="619">
        <v>1</v>
      </c>
      <c r="BH67" s="623">
        <f t="shared" si="0"/>
        <v>1</v>
      </c>
      <c r="BI67" s="623">
        <f t="shared" si="1"/>
        <v>1</v>
      </c>
    </row>
    <row r="68" spans="4:61" ht="12.75" customHeight="1" hidden="1">
      <c r="D68" s="543" t="s">
        <v>217</v>
      </c>
      <c r="E68" s="544"/>
      <c r="F68" s="545"/>
      <c r="G68" s="546"/>
      <c r="H68" s="544"/>
      <c r="I68" s="556"/>
      <c r="J68" s="556"/>
      <c r="K68" s="544"/>
      <c r="L68" s="544"/>
      <c r="M68" s="553"/>
      <c r="N68" s="245"/>
      <c r="P68" s="245"/>
      <c r="Q68" s="245"/>
      <c r="R68" s="245"/>
      <c r="S68" s="7"/>
      <c r="T68" s="7"/>
      <c r="U68" s="7"/>
      <c r="V68" s="7"/>
      <c r="W68" s="7"/>
      <c r="X68" s="7"/>
      <c r="Y68" s="7"/>
      <c r="AN68" s="88"/>
      <c r="AO68" s="88"/>
      <c r="AP68" s="88"/>
      <c r="AQ68" s="88"/>
      <c r="AR68" s="88"/>
      <c r="AS68" s="138"/>
      <c r="AT68" s="88"/>
      <c r="BB68" s="618">
        <v>89.09999999999971</v>
      </c>
      <c r="BC68" s="619">
        <v>1</v>
      </c>
      <c r="BD68" s="619">
        <v>1.01</v>
      </c>
      <c r="BE68" s="618">
        <v>89.09999999999971</v>
      </c>
      <c r="BF68" s="619">
        <v>0.98</v>
      </c>
      <c r="BG68" s="619">
        <v>1</v>
      </c>
      <c r="BH68" s="623">
        <f t="shared" si="0"/>
        <v>1</v>
      </c>
      <c r="BI68" s="623">
        <f t="shared" si="1"/>
        <v>1.01</v>
      </c>
    </row>
    <row r="69" spans="4:61" ht="12.75" customHeight="1" hidden="1">
      <c r="D69" s="543" t="s">
        <v>218</v>
      </c>
      <c r="E69" s="544"/>
      <c r="F69" s="545"/>
      <c r="G69" s="546"/>
      <c r="H69" s="544"/>
      <c r="I69" s="556"/>
      <c r="J69" s="556"/>
      <c r="K69" s="544"/>
      <c r="L69" s="544"/>
      <c r="M69" s="553"/>
      <c r="N69" s="7"/>
      <c r="O69" s="7"/>
      <c r="P69" s="7"/>
      <c r="Q69" s="102"/>
      <c r="R69" s="7"/>
      <c r="S69" s="7"/>
      <c r="T69" s="7"/>
      <c r="U69" s="7"/>
      <c r="V69" s="7"/>
      <c r="W69" s="7"/>
      <c r="X69" s="7"/>
      <c r="Y69" s="7"/>
      <c r="AA69" s="62"/>
      <c r="AB69" s="62"/>
      <c r="AC69" s="62"/>
      <c r="AD69" s="62"/>
      <c r="AE69" s="62"/>
      <c r="AF69" s="62"/>
      <c r="AN69" s="88"/>
      <c r="AO69" s="88"/>
      <c r="AP69" s="88"/>
      <c r="AQ69" s="88"/>
      <c r="AR69" s="88"/>
      <c r="AS69" s="138"/>
      <c r="AT69" s="88"/>
      <c r="BB69" s="618">
        <v>89.1999999999997</v>
      </c>
      <c r="BC69" s="619">
        <v>1</v>
      </c>
      <c r="BD69" s="619">
        <v>1.01</v>
      </c>
      <c r="BE69" s="618">
        <v>89.1999999999997</v>
      </c>
      <c r="BF69" s="619">
        <v>0.98</v>
      </c>
      <c r="BG69" s="619">
        <v>1</v>
      </c>
      <c r="BH69" s="623">
        <f t="shared" si="0"/>
        <v>1</v>
      </c>
      <c r="BI69" s="623">
        <f t="shared" si="1"/>
        <v>1.01</v>
      </c>
    </row>
    <row r="70" spans="4:61" ht="13.5" customHeight="1" hidden="1">
      <c r="D70" s="543" t="s">
        <v>219</v>
      </c>
      <c r="E70" s="544"/>
      <c r="F70" s="545"/>
      <c r="G70" s="544"/>
      <c r="H70" s="544"/>
      <c r="I70" s="556"/>
      <c r="J70" s="556"/>
      <c r="K70" s="544"/>
      <c r="L70" s="544"/>
      <c r="M70" s="553"/>
      <c r="N70" s="7"/>
      <c r="O70" s="7"/>
      <c r="P70" s="7"/>
      <c r="Q70" s="7"/>
      <c r="R70" s="7"/>
      <c r="S70" s="7"/>
      <c r="T70" s="7"/>
      <c r="U70" s="7"/>
      <c r="V70" s="7"/>
      <c r="W70" s="7"/>
      <c r="X70" s="7"/>
      <c r="Y70" s="7"/>
      <c r="AA70" s="50"/>
      <c r="AB70" s="62"/>
      <c r="AC70" s="7"/>
      <c r="AD70" s="62"/>
      <c r="AE70" s="7"/>
      <c r="AF70" s="7"/>
      <c r="AN70" s="88"/>
      <c r="AO70" s="88"/>
      <c r="AP70" s="88"/>
      <c r="AQ70" s="88"/>
      <c r="AR70" s="88"/>
      <c r="AS70" s="138"/>
      <c r="AT70" s="88"/>
      <c r="BB70" s="618">
        <v>89.2999999999997</v>
      </c>
      <c r="BC70" s="619">
        <v>1</v>
      </c>
      <c r="BD70" s="619">
        <v>1.01</v>
      </c>
      <c r="BE70" s="618">
        <v>89.2999999999997</v>
      </c>
      <c r="BF70" s="619">
        <v>0.98</v>
      </c>
      <c r="BG70" s="619">
        <v>1</v>
      </c>
      <c r="BH70" s="623">
        <f t="shared" si="0"/>
        <v>1</v>
      </c>
      <c r="BI70" s="623">
        <f t="shared" si="1"/>
        <v>1.01</v>
      </c>
    </row>
    <row r="71" spans="4:61" ht="15.75" customHeight="1" hidden="1">
      <c r="D71" s="543" t="s">
        <v>220</v>
      </c>
      <c r="E71" s="544"/>
      <c r="F71" s="545"/>
      <c r="G71" s="547"/>
      <c r="H71" s="544"/>
      <c r="I71" s="556"/>
      <c r="J71" s="556"/>
      <c r="K71" s="544"/>
      <c r="L71" s="544"/>
      <c r="M71" s="553"/>
      <c r="N71" s="77"/>
      <c r="O71" s="77"/>
      <c r="P71" s="77"/>
      <c r="Q71" s="7"/>
      <c r="R71" s="7"/>
      <c r="S71" s="7"/>
      <c r="T71" s="7"/>
      <c r="U71" s="7"/>
      <c r="V71" s="7"/>
      <c r="W71" s="7"/>
      <c r="X71" s="7"/>
      <c r="Y71" s="7"/>
      <c r="AA71" s="50"/>
      <c r="AB71" s="62"/>
      <c r="AC71" s="7"/>
      <c r="AD71" s="7"/>
      <c r="AE71" s="7"/>
      <c r="AF71" s="7"/>
      <c r="AN71" s="88"/>
      <c r="AO71" s="88"/>
      <c r="AP71" s="88"/>
      <c r="AQ71" s="88"/>
      <c r="AR71" s="88"/>
      <c r="AS71" s="138"/>
      <c r="AT71" s="88"/>
      <c r="BB71" s="618">
        <v>89.3999999999997</v>
      </c>
      <c r="BC71" s="619">
        <v>1</v>
      </c>
      <c r="BD71" s="619">
        <v>1.01</v>
      </c>
      <c r="BE71" s="618">
        <v>89.3999999999997</v>
      </c>
      <c r="BF71" s="619">
        <v>0.98</v>
      </c>
      <c r="BG71" s="619">
        <v>1</v>
      </c>
      <c r="BH71" s="623">
        <f aca="true" t="shared" si="8" ref="BH71:BH134">+IF((OR(($AK$87=3),($AK$87=2))),BC71,BF71)</f>
        <v>1</v>
      </c>
      <c r="BI71" s="623">
        <f aca="true" t="shared" si="9" ref="BI71:BI134">+IF((OR(($AK$87=3),($AK$87=2))),BD71,BG71)</f>
        <v>1.01</v>
      </c>
    </row>
    <row r="72" spans="4:61" ht="12.75" hidden="1">
      <c r="D72" s="543" t="s">
        <v>221</v>
      </c>
      <c r="E72" s="544"/>
      <c r="F72" s="545"/>
      <c r="G72" s="547"/>
      <c r="H72" s="544"/>
      <c r="I72" s="556"/>
      <c r="J72" s="556"/>
      <c r="K72" s="544"/>
      <c r="L72" s="544"/>
      <c r="M72" s="553"/>
      <c r="N72" s="7"/>
      <c r="O72" s="7"/>
      <c r="P72" s="7"/>
      <c r="Q72" s="7"/>
      <c r="R72" s="7"/>
      <c r="S72" s="7"/>
      <c r="T72" s="7"/>
      <c r="U72" s="7"/>
      <c r="V72" s="7"/>
      <c r="W72" s="7"/>
      <c r="X72" s="7"/>
      <c r="Y72" s="7"/>
      <c r="AE72" s="560" t="s">
        <v>224</v>
      </c>
      <c r="AN72" s="88"/>
      <c r="AO72" s="88"/>
      <c r="AP72" s="88"/>
      <c r="AQ72" s="88"/>
      <c r="AR72" s="88"/>
      <c r="AS72" s="138"/>
      <c r="AT72" s="88"/>
      <c r="BB72" s="618">
        <v>89.49999999999969</v>
      </c>
      <c r="BC72" s="619">
        <v>1</v>
      </c>
      <c r="BD72" s="619">
        <v>1.01</v>
      </c>
      <c r="BE72" s="618">
        <v>89.49999999999969</v>
      </c>
      <c r="BF72" s="619">
        <v>0.98</v>
      </c>
      <c r="BG72" s="619">
        <v>1</v>
      </c>
      <c r="BH72" s="623">
        <f t="shared" si="8"/>
        <v>1</v>
      </c>
      <c r="BI72" s="623">
        <f t="shared" si="9"/>
        <v>1.01</v>
      </c>
    </row>
    <row r="73" spans="4:61" ht="18.75" hidden="1" thickBot="1">
      <c r="D73" s="543" t="s">
        <v>222</v>
      </c>
      <c r="E73" s="544"/>
      <c r="F73" s="545"/>
      <c r="G73" s="547"/>
      <c r="H73" s="544"/>
      <c r="I73" s="556"/>
      <c r="J73" s="556"/>
      <c r="K73" s="544"/>
      <c r="L73" s="544"/>
      <c r="M73" s="553"/>
      <c r="N73" s="7"/>
      <c r="O73" s="80"/>
      <c r="P73" s="7"/>
      <c r="Q73" s="81"/>
      <c r="R73" s="11"/>
      <c r="S73" s="11"/>
      <c r="T73" s="11"/>
      <c r="U73" s="11"/>
      <c r="V73" s="699">
        <v>1</v>
      </c>
      <c r="W73" s="699">
        <v>2</v>
      </c>
      <c r="X73" s="50">
        <v>3</v>
      </c>
      <c r="Y73" s="50">
        <v>4</v>
      </c>
      <c r="Z73" s="65">
        <v>5</v>
      </c>
      <c r="AA73" s="65">
        <v>6</v>
      </c>
      <c r="AB73" s="65">
        <v>7</v>
      </c>
      <c r="AE73" s="560" t="s">
        <v>225</v>
      </c>
      <c r="AN73" s="88"/>
      <c r="AO73" s="88"/>
      <c r="AP73" s="138"/>
      <c r="AQ73" s="88"/>
      <c r="AR73" s="88"/>
      <c r="AS73" s="138"/>
      <c r="AT73" s="88"/>
      <c r="BB73" s="618">
        <v>89.59999999999968</v>
      </c>
      <c r="BC73" s="619">
        <v>1</v>
      </c>
      <c r="BD73" s="619">
        <v>1.02</v>
      </c>
      <c r="BE73" s="618">
        <v>89.59999999999968</v>
      </c>
      <c r="BF73" s="619">
        <v>0.98</v>
      </c>
      <c r="BG73" s="619">
        <v>1</v>
      </c>
      <c r="BH73" s="623">
        <f t="shared" si="8"/>
        <v>1</v>
      </c>
      <c r="BI73" s="623">
        <f t="shared" si="9"/>
        <v>1.02</v>
      </c>
    </row>
    <row r="74" spans="4:61" ht="13.5" hidden="1" thickBot="1">
      <c r="D74" s="543"/>
      <c r="E74" s="544"/>
      <c r="F74" s="545"/>
      <c r="G74" s="547"/>
      <c r="H74" s="544"/>
      <c r="I74" s="556"/>
      <c r="J74" s="556"/>
      <c r="K74" s="544"/>
      <c r="L74" s="544"/>
      <c r="M74" s="553"/>
      <c r="V74" s="227"/>
      <c r="W74" s="228">
        <v>2350</v>
      </c>
      <c r="X74" s="228">
        <v>2350</v>
      </c>
      <c r="Y74" s="228">
        <v>2350</v>
      </c>
      <c r="Z74" s="228">
        <v>2360</v>
      </c>
      <c r="AA74" s="228">
        <v>2360</v>
      </c>
      <c r="AB74" s="229">
        <v>2360</v>
      </c>
      <c r="AC74" s="92"/>
      <c r="AD74" s="92"/>
      <c r="AE74" s="92"/>
      <c r="AF74" s="92"/>
      <c r="AG74" s="92"/>
      <c r="AH74" s="92"/>
      <c r="AI74" s="92"/>
      <c r="AJ74" s="92"/>
      <c r="AK74" s="92"/>
      <c r="AL74" s="92"/>
      <c r="AM74" s="92"/>
      <c r="AN74" s="89"/>
      <c r="AO74" s="89"/>
      <c r="AP74" s="89"/>
      <c r="AQ74" s="89"/>
      <c r="AR74" s="89"/>
      <c r="AS74" s="90"/>
      <c r="AT74" s="89"/>
      <c r="AU74" s="92"/>
      <c r="AV74" s="92"/>
      <c r="AW74" s="92"/>
      <c r="AX74" s="92"/>
      <c r="AY74" s="92"/>
      <c r="BB74" s="618">
        <v>89.69999999999968</v>
      </c>
      <c r="BC74" s="619">
        <v>1</v>
      </c>
      <c r="BD74" s="619">
        <v>1.02</v>
      </c>
      <c r="BE74" s="618">
        <v>89.69999999999968</v>
      </c>
      <c r="BF74" s="619">
        <v>0.98</v>
      </c>
      <c r="BG74" s="619">
        <v>1</v>
      </c>
      <c r="BH74" s="623">
        <f t="shared" si="8"/>
        <v>1</v>
      </c>
      <c r="BI74" s="623">
        <f t="shared" si="9"/>
        <v>1.02</v>
      </c>
    </row>
    <row r="75" spans="4:61" ht="13.5" hidden="1" thickBot="1">
      <c r="D75" s="543" t="s">
        <v>223</v>
      </c>
      <c r="E75" s="544"/>
      <c r="F75" s="545"/>
      <c r="G75" s="547"/>
      <c r="H75" s="544"/>
      <c r="I75" s="544"/>
      <c r="J75" s="544"/>
      <c r="K75" s="559" t="s">
        <v>224</v>
      </c>
      <c r="L75" s="692"/>
      <c r="M75" s="558"/>
      <c r="V75" s="230" t="s">
        <v>42</v>
      </c>
      <c r="W75" s="223">
        <v>-1</v>
      </c>
      <c r="X75" s="223">
        <v>2</v>
      </c>
      <c r="Y75" s="223" t="s">
        <v>43</v>
      </c>
      <c r="Z75" s="224" t="s">
        <v>44</v>
      </c>
      <c r="AA75" s="225" t="s">
        <v>45</v>
      </c>
      <c r="AB75" s="231">
        <v>6</v>
      </c>
      <c r="AC75" s="92"/>
      <c r="AD75" s="92"/>
      <c r="AE75" s="92"/>
      <c r="AF75" s="92"/>
      <c r="AG75" s="92"/>
      <c r="AH75" s="92"/>
      <c r="AI75" s="92"/>
      <c r="AJ75" s="92"/>
      <c r="AK75" s="92"/>
      <c r="AL75" s="92"/>
      <c r="AM75" s="92"/>
      <c r="AN75" s="89"/>
      <c r="AO75" s="89"/>
      <c r="AP75" s="89"/>
      <c r="AQ75" s="89"/>
      <c r="AR75" s="89"/>
      <c r="AS75" s="90"/>
      <c r="AT75" s="89"/>
      <c r="AU75" s="92"/>
      <c r="AV75" s="92"/>
      <c r="AW75" s="92"/>
      <c r="AX75" s="92"/>
      <c r="AY75" s="92"/>
      <c r="BB75" s="618">
        <v>89.79999999999967</v>
      </c>
      <c r="BC75" s="619">
        <v>1</v>
      </c>
      <c r="BD75" s="619">
        <v>1.02</v>
      </c>
      <c r="BE75" s="618">
        <v>89.79999999999967</v>
      </c>
      <c r="BF75" s="619">
        <v>0.98</v>
      </c>
      <c r="BG75" s="619">
        <v>1</v>
      </c>
      <c r="BH75" s="623">
        <f t="shared" si="8"/>
        <v>1</v>
      </c>
      <c r="BI75" s="623">
        <f t="shared" si="9"/>
        <v>1.02</v>
      </c>
    </row>
    <row r="76" spans="4:61" ht="12.75" hidden="1">
      <c r="D76" s="543"/>
      <c r="E76" s="544"/>
      <c r="F76" s="545"/>
      <c r="G76" s="547"/>
      <c r="H76" s="544"/>
      <c r="I76" s="556"/>
      <c r="J76" s="556"/>
      <c r="K76" s="544"/>
      <c r="L76" s="544"/>
      <c r="M76" s="553"/>
      <c r="V76" s="230"/>
      <c r="W76" s="223" t="s">
        <v>46</v>
      </c>
      <c r="X76" s="223" t="s">
        <v>47</v>
      </c>
      <c r="Y76" s="223" t="s">
        <v>162</v>
      </c>
      <c r="Z76" s="224" t="s">
        <v>48</v>
      </c>
      <c r="AA76" s="225"/>
      <c r="AB76" s="232" t="s">
        <v>49</v>
      </c>
      <c r="AC76" s="92"/>
      <c r="AD76" s="327"/>
      <c r="AE76" s="328" t="s">
        <v>50</v>
      </c>
      <c r="AF76" s="328" t="s">
        <v>51</v>
      </c>
      <c r="AG76" s="328" t="s">
        <v>52</v>
      </c>
      <c r="AH76" s="328" t="s">
        <v>53</v>
      </c>
      <c r="AI76" s="329" t="s">
        <v>54</v>
      </c>
      <c r="AJ76" s="92"/>
      <c r="AK76" s="92"/>
      <c r="AL76" s="92"/>
      <c r="AM76" s="92"/>
      <c r="AN76" s="85"/>
      <c r="AO76" s="85"/>
      <c r="AP76" s="85"/>
      <c r="AQ76" s="85"/>
      <c r="AR76" s="85"/>
      <c r="AS76" s="85"/>
      <c r="AT76" s="85"/>
      <c r="AU76" s="92"/>
      <c r="AV76" s="92"/>
      <c r="AW76" s="92"/>
      <c r="AX76" s="92"/>
      <c r="AY76" s="92"/>
      <c r="BB76" s="618">
        <v>89.89999999999966</v>
      </c>
      <c r="BC76" s="619">
        <v>1</v>
      </c>
      <c r="BD76" s="619">
        <v>1.02</v>
      </c>
      <c r="BE76" s="618">
        <v>89.89999999999966</v>
      </c>
      <c r="BF76" s="619">
        <v>0.98</v>
      </c>
      <c r="BG76" s="619">
        <v>1</v>
      </c>
      <c r="BH76" s="623">
        <f t="shared" si="8"/>
        <v>1</v>
      </c>
      <c r="BI76" s="623">
        <f t="shared" si="9"/>
        <v>1.02</v>
      </c>
    </row>
    <row r="77" spans="4:61" ht="13.5" hidden="1" thickBot="1">
      <c r="D77" s="548"/>
      <c r="E77" s="549" t="s">
        <v>226</v>
      </c>
      <c r="F77" s="550"/>
      <c r="G77" s="551"/>
      <c r="H77" s="578" t="e">
        <f>+mndot_rounding_1((D15*D17+E15*E17+F15*F17+G15*G17+H15*H17+I15*I17+J15*J17+K15*K17+M15*M17)/(D15+E15+F15+G15+H15+I15+J15+K15+M15))</f>
        <v>#VALUE!</v>
      </c>
      <c r="I77" s="557"/>
      <c r="J77" s="557"/>
      <c r="K77" s="549"/>
      <c r="L77" s="549"/>
      <c r="M77" s="554"/>
      <c r="V77" s="259"/>
      <c r="W77" s="233"/>
      <c r="X77" s="325" t="s">
        <v>161</v>
      </c>
      <c r="Y77" s="325" t="s">
        <v>161</v>
      </c>
      <c r="Z77" s="233"/>
      <c r="AA77" s="233"/>
      <c r="AB77" s="326"/>
      <c r="AC77" s="179"/>
      <c r="AD77" s="238" t="s">
        <v>6</v>
      </c>
      <c r="AE77" s="179">
        <v>2.5</v>
      </c>
      <c r="AF77" s="179">
        <v>92</v>
      </c>
      <c r="AG77" s="180">
        <v>2</v>
      </c>
      <c r="AH77" s="180">
        <v>2</v>
      </c>
      <c r="AI77" s="186">
        <v>1</v>
      </c>
      <c r="AJ77" s="92"/>
      <c r="AK77" s="92"/>
      <c r="AL77" s="92"/>
      <c r="AM77" s="92"/>
      <c r="AN77" s="92"/>
      <c r="AO77" s="92"/>
      <c r="AP77" s="92"/>
      <c r="AQ77" s="92"/>
      <c r="AR77" s="92"/>
      <c r="AS77" s="92"/>
      <c r="AT77" s="92"/>
      <c r="AU77" s="92"/>
      <c r="AV77" s="92"/>
      <c r="AW77" s="92"/>
      <c r="AX77" s="92"/>
      <c r="AY77" s="92"/>
      <c r="BB77" s="618">
        <v>89.99999999999966</v>
      </c>
      <c r="BC77" s="619">
        <v>1</v>
      </c>
      <c r="BD77" s="619">
        <v>1.02</v>
      </c>
      <c r="BE77" s="618">
        <v>89.99999999999966</v>
      </c>
      <c r="BF77" s="619">
        <v>1</v>
      </c>
      <c r="BG77" s="619">
        <v>1</v>
      </c>
      <c r="BH77" s="623">
        <f t="shared" si="8"/>
        <v>1</v>
      </c>
      <c r="BI77" s="623">
        <f t="shared" si="9"/>
        <v>1.02</v>
      </c>
    </row>
    <row r="78" spans="22:61" ht="12.75" hidden="1">
      <c r="V78" s="185">
        <v>82.70000000000024</v>
      </c>
      <c r="W78" s="212" t="s">
        <v>160</v>
      </c>
      <c r="X78" s="212" t="s">
        <v>160</v>
      </c>
      <c r="Y78" s="212" t="s">
        <v>160</v>
      </c>
      <c r="Z78" s="212" t="s">
        <v>160</v>
      </c>
      <c r="AA78" s="212" t="s">
        <v>160</v>
      </c>
      <c r="AB78" s="237" t="s">
        <v>160</v>
      </c>
      <c r="AC78" s="179"/>
      <c r="AD78" s="238" t="s">
        <v>65</v>
      </c>
      <c r="AE78" s="179">
        <v>2.5</v>
      </c>
      <c r="AF78" s="179">
        <v>91</v>
      </c>
      <c r="AG78" s="180">
        <v>3</v>
      </c>
      <c r="AH78" s="180">
        <v>1</v>
      </c>
      <c r="AI78" s="186">
        <v>1</v>
      </c>
      <c r="AJ78" s="92"/>
      <c r="AK78" s="92"/>
      <c r="AL78" s="175"/>
      <c r="AM78" s="175"/>
      <c r="AN78" s="175"/>
      <c r="AO78" s="175"/>
      <c r="AP78" s="175"/>
      <c r="AQ78" s="175"/>
      <c r="AR78" s="175"/>
      <c r="AS78" s="175"/>
      <c r="AT78" s="85" t="s">
        <v>57</v>
      </c>
      <c r="AU78" s="85"/>
      <c r="AV78" s="85">
        <f>Q16</f>
        <v>0</v>
      </c>
      <c r="AW78" s="175"/>
      <c r="AX78" s="91">
        <v>0</v>
      </c>
      <c r="AY78" s="82">
        <f>AN90</f>
        <v>0</v>
      </c>
      <c r="BB78" s="618">
        <v>90.09999999999965</v>
      </c>
      <c r="BC78" s="619">
        <v>1</v>
      </c>
      <c r="BD78" s="619">
        <v>1.02</v>
      </c>
      <c r="BE78" s="618">
        <v>90.09999999999965</v>
      </c>
      <c r="BF78" s="619">
        <v>1</v>
      </c>
      <c r="BG78" s="619">
        <v>1.01</v>
      </c>
      <c r="BH78" s="623">
        <f t="shared" si="8"/>
        <v>1</v>
      </c>
      <c r="BI78" s="623">
        <f t="shared" si="9"/>
        <v>1.02</v>
      </c>
    </row>
    <row r="79" spans="1:61" ht="12.75" hidden="1">
      <c r="A79" s="1" t="s">
        <v>251</v>
      </c>
      <c r="C79" s="1" t="s">
        <v>252</v>
      </c>
      <c r="D79" s="1">
        <v>1</v>
      </c>
      <c r="E79" s="1">
        <v>2</v>
      </c>
      <c r="F79" s="1">
        <v>3</v>
      </c>
      <c r="G79" s="1">
        <v>4</v>
      </c>
      <c r="H79" s="1">
        <v>5</v>
      </c>
      <c r="I79" s="1">
        <v>6</v>
      </c>
      <c r="J79" s="1">
        <v>7</v>
      </c>
      <c r="K79" s="1">
        <v>8</v>
      </c>
      <c r="M79" s="1">
        <v>9</v>
      </c>
      <c r="V79" s="185">
        <v>82.80000000000024</v>
      </c>
      <c r="W79" s="212" t="s">
        <v>160</v>
      </c>
      <c r="X79" s="212" t="s">
        <v>160</v>
      </c>
      <c r="Y79" s="212" t="s">
        <v>160</v>
      </c>
      <c r="Z79" s="212" t="s">
        <v>160</v>
      </c>
      <c r="AA79" s="212" t="s">
        <v>160</v>
      </c>
      <c r="AB79" s="237" t="s">
        <v>160</v>
      </c>
      <c r="AC79" s="179"/>
      <c r="AD79" s="238" t="s">
        <v>12</v>
      </c>
      <c r="AE79" s="179">
        <v>3</v>
      </c>
      <c r="AF79" s="179">
        <v>92</v>
      </c>
      <c r="AG79" s="180">
        <v>2</v>
      </c>
      <c r="AH79" s="180">
        <v>2</v>
      </c>
      <c r="AI79" s="186">
        <v>2</v>
      </c>
      <c r="AJ79" s="92"/>
      <c r="AK79" s="92"/>
      <c r="AL79" s="175"/>
      <c r="AM79" s="175"/>
      <c r="AN79" s="175"/>
      <c r="AO79" s="175"/>
      <c r="AP79" s="175"/>
      <c r="AQ79" s="175"/>
      <c r="AR79" s="175"/>
      <c r="AS79" s="175"/>
      <c r="AT79" s="85" t="s">
        <v>60</v>
      </c>
      <c r="AU79" s="85"/>
      <c r="AV79" s="85" t="e">
        <f>J10</f>
        <v>#N/A</v>
      </c>
      <c r="AW79" s="175"/>
      <c r="AX79" s="213">
        <f>IF(AO87=0,$AV$78+0.1,AO87*G11)</f>
        <v>0.1</v>
      </c>
      <c r="AY79" s="89">
        <f>IF(AO90="",AN90,AO90)</f>
        <v>0</v>
      </c>
      <c r="BB79" s="618">
        <v>90.19999999999965</v>
      </c>
      <c r="BC79" s="619">
        <v>1</v>
      </c>
      <c r="BD79" s="619">
        <v>1.02</v>
      </c>
      <c r="BE79" s="618">
        <v>90.19999999999965</v>
      </c>
      <c r="BF79" s="619">
        <v>1</v>
      </c>
      <c r="BG79" s="619">
        <v>1.01</v>
      </c>
      <c r="BH79" s="623">
        <f t="shared" si="8"/>
        <v>1</v>
      </c>
      <c r="BI79" s="623">
        <f t="shared" si="9"/>
        <v>1.02</v>
      </c>
    </row>
    <row r="80" spans="1:61" ht="12.75" hidden="1">
      <c r="A80" s="1" t="s">
        <v>253</v>
      </c>
      <c r="B80" s="753" t="s">
        <v>254</v>
      </c>
      <c r="C80" s="753"/>
      <c r="D80" s="656">
        <f>+mndot_rounding_3(D18/1)</f>
        <v>0</v>
      </c>
      <c r="E80" s="656">
        <f>+mndot_rounding_3((D18+E18)/2)</f>
        <v>0</v>
      </c>
      <c r="F80" s="656">
        <f>+mndot_rounding_3((D18+E18+F18)/3)</f>
        <v>0</v>
      </c>
      <c r="G80" s="656">
        <f>+mndot_rounding_3((D18+E18+F18+G18)/4)</f>
        <v>0</v>
      </c>
      <c r="H80" s="656">
        <f>+mndot_rounding_3((D18+E18+F18+G18+H18)/5)</f>
        <v>0</v>
      </c>
      <c r="I80" s="656">
        <f>+mndot_rounding_3((D18+E18+F18+G18+H18+I18)/6)</f>
        <v>0</v>
      </c>
      <c r="J80" s="656">
        <f>+mndot_rounding_3((D18+E18+F18+G18+H18+I18+J18)/7)</f>
        <v>0</v>
      </c>
      <c r="K80" s="656">
        <f>+mndot_rounding_3((D18+E18+F18+G18+H18+I18+J18+K18)/8)</f>
        <v>0</v>
      </c>
      <c r="L80" s="656"/>
      <c r="M80" s="656">
        <f>+mndot_rounding_3((D18+E18+F18+G18+H18+I18+J18+K18+M18)/9)</f>
        <v>0</v>
      </c>
      <c r="V80" s="185">
        <v>82.90000000000023</v>
      </c>
      <c r="W80" s="212" t="s">
        <v>160</v>
      </c>
      <c r="X80" s="212" t="s">
        <v>160</v>
      </c>
      <c r="Y80" s="212" t="s">
        <v>160</v>
      </c>
      <c r="Z80" s="212" t="s">
        <v>160</v>
      </c>
      <c r="AA80" s="212" t="s">
        <v>160</v>
      </c>
      <c r="AB80" s="237" t="s">
        <v>160</v>
      </c>
      <c r="AC80" s="179"/>
      <c r="AD80" s="185" t="s">
        <v>68</v>
      </c>
      <c r="AE80" s="179">
        <v>3</v>
      </c>
      <c r="AF80" s="179">
        <v>91</v>
      </c>
      <c r="AG80" s="180">
        <v>3</v>
      </c>
      <c r="AH80" s="180">
        <v>1</v>
      </c>
      <c r="AI80" s="186">
        <v>2</v>
      </c>
      <c r="AJ80" s="92"/>
      <c r="AK80" s="92"/>
      <c r="AL80" s="175"/>
      <c r="AM80" s="175"/>
      <c r="AN80" s="175"/>
      <c r="AO80" s="175"/>
      <c r="AP80" s="175"/>
      <c r="AQ80" s="175"/>
      <c r="AR80" s="175"/>
      <c r="AS80" s="175"/>
      <c r="AT80" s="85" t="s">
        <v>62</v>
      </c>
      <c r="AU80" s="85"/>
      <c r="AV80" s="89" t="e">
        <f>Q20</f>
        <v>#N/A</v>
      </c>
      <c r="AW80" s="175"/>
      <c r="AX80" s="213">
        <f>IF(AP87=0,$AV$78+0.1,AP87*G11)</f>
        <v>0.1</v>
      </c>
      <c r="AY80" s="82">
        <f>IF(AND(AP90="",AO90=""),AN90,IF(AP90="",AO90,AP90))</f>
        <v>0</v>
      </c>
      <c r="BB80" s="618">
        <v>90.29999999999964</v>
      </c>
      <c r="BC80" s="619">
        <v>1</v>
      </c>
      <c r="BD80" s="619">
        <v>1.02</v>
      </c>
      <c r="BE80" s="618">
        <v>90.29999999999964</v>
      </c>
      <c r="BF80" s="619">
        <v>1</v>
      </c>
      <c r="BG80" s="619">
        <v>1.01</v>
      </c>
      <c r="BH80" s="623">
        <f t="shared" si="8"/>
        <v>1</v>
      </c>
      <c r="BI80" s="623">
        <f t="shared" si="9"/>
        <v>1.02</v>
      </c>
    </row>
    <row r="81" spans="2:61" ht="12.75" hidden="1">
      <c r="B81" s="655" t="s">
        <v>255</v>
      </c>
      <c r="C81" s="655"/>
      <c r="D81" s="1">
        <f aca="true" t="shared" si="10" ref="D81:M81">+IF(D18&gt;1,1,0)</f>
        <v>0</v>
      </c>
      <c r="E81" s="1">
        <f t="shared" si="10"/>
        <v>0</v>
      </c>
      <c r="F81" s="1">
        <f t="shared" si="10"/>
        <v>0</v>
      </c>
      <c r="G81" s="1">
        <f t="shared" si="10"/>
        <v>0</v>
      </c>
      <c r="H81" s="1">
        <f t="shared" si="10"/>
        <v>0</v>
      </c>
      <c r="I81" s="1">
        <f t="shared" si="10"/>
        <v>0</v>
      </c>
      <c r="J81" s="1">
        <f t="shared" si="10"/>
        <v>0</v>
      </c>
      <c r="K81" s="1">
        <f t="shared" si="10"/>
        <v>0</v>
      </c>
      <c r="M81" s="1">
        <f t="shared" si="10"/>
        <v>0</v>
      </c>
      <c r="V81" s="185">
        <v>83.00000000000023</v>
      </c>
      <c r="W81" s="212" t="s">
        <v>160</v>
      </c>
      <c r="X81" s="212" t="s">
        <v>160</v>
      </c>
      <c r="Y81" s="212" t="s">
        <v>160</v>
      </c>
      <c r="Z81" s="212" t="s">
        <v>160</v>
      </c>
      <c r="AA81" s="212" t="s">
        <v>160</v>
      </c>
      <c r="AB81" s="237" t="s">
        <v>160</v>
      </c>
      <c r="AC81" s="179"/>
      <c r="AD81" s="330" t="s">
        <v>14</v>
      </c>
      <c r="AE81" s="179">
        <v>2.5</v>
      </c>
      <c r="AF81" s="179">
        <v>93</v>
      </c>
      <c r="AG81" s="180">
        <v>5</v>
      </c>
      <c r="AH81" s="180">
        <v>2</v>
      </c>
      <c r="AI81" s="186">
        <v>1</v>
      </c>
      <c r="AJ81" s="166" t="s">
        <v>63</v>
      </c>
      <c r="AK81" s="167">
        <v>1</v>
      </c>
      <c r="AL81" s="175"/>
      <c r="AM81" s="175"/>
      <c r="AN81" s="175"/>
      <c r="AO81" s="175"/>
      <c r="AP81" s="175"/>
      <c r="AQ81" s="175"/>
      <c r="AR81" s="175"/>
      <c r="AS81" s="175"/>
      <c r="AT81" s="92"/>
      <c r="AU81" s="92"/>
      <c r="AV81" s="92">
        <f>I20</f>
        <v>3.5</v>
      </c>
      <c r="AW81" s="175"/>
      <c r="AX81" s="213">
        <f>IF(AQ87=0,$AV$78+0.1,AQ87*G11)</f>
        <v>0.1</v>
      </c>
      <c r="AY81" s="82">
        <f>IF(AQ90="",AP90,AQ90)</f>
        <v>0</v>
      </c>
      <c r="BB81" s="618">
        <v>90.39999999999964</v>
      </c>
      <c r="BC81" s="619">
        <v>1</v>
      </c>
      <c r="BD81" s="619">
        <v>1.02</v>
      </c>
      <c r="BE81" s="618">
        <v>90.39999999999964</v>
      </c>
      <c r="BF81" s="619">
        <v>1</v>
      </c>
      <c r="BG81" s="619">
        <v>1.01</v>
      </c>
      <c r="BH81" s="623">
        <f t="shared" si="8"/>
        <v>1</v>
      </c>
      <c r="BI81" s="623">
        <f t="shared" si="9"/>
        <v>1.02</v>
      </c>
    </row>
    <row r="82" spans="2:61" ht="12.75" hidden="1">
      <c r="B82" s="655" t="s">
        <v>256</v>
      </c>
      <c r="C82" s="655"/>
      <c r="D82" s="1">
        <f>+SUM(D81:M81)</f>
        <v>0</v>
      </c>
      <c r="V82" s="185">
        <v>83.10000000000022</v>
      </c>
      <c r="W82" s="212" t="s">
        <v>160</v>
      </c>
      <c r="X82" s="212" t="s">
        <v>160</v>
      </c>
      <c r="Y82" s="212" t="s">
        <v>160</v>
      </c>
      <c r="Z82" s="212" t="s">
        <v>160</v>
      </c>
      <c r="AA82" s="212" t="s">
        <v>160</v>
      </c>
      <c r="AB82" s="237" t="s">
        <v>160</v>
      </c>
      <c r="AC82" s="179"/>
      <c r="AD82" s="330" t="s">
        <v>69</v>
      </c>
      <c r="AE82" s="179">
        <v>2.5</v>
      </c>
      <c r="AF82" s="179">
        <v>92</v>
      </c>
      <c r="AG82" s="180">
        <v>6</v>
      </c>
      <c r="AH82" s="180">
        <v>1</v>
      </c>
      <c r="AI82" s="186">
        <v>1</v>
      </c>
      <c r="AJ82" s="85" t="s">
        <v>66</v>
      </c>
      <c r="AK82" s="169">
        <v>1</v>
      </c>
      <c r="AL82" s="175"/>
      <c r="AM82" s="175"/>
      <c r="AN82" s="175"/>
      <c r="AO82" s="175"/>
      <c r="AP82" s="175"/>
      <c r="AQ82" s="175"/>
      <c r="AR82" s="334">
        <f>IF(G8="","",Q22)</f>
      </c>
      <c r="AS82" s="175"/>
      <c r="AT82" s="171">
        <f>IF(G8="",D8,AR82)</f>
        <v>0</v>
      </c>
      <c r="AU82" s="92"/>
      <c r="AV82" s="172">
        <f>N20</f>
        <v>92</v>
      </c>
      <c r="AW82" s="175"/>
      <c r="AX82" s="213">
        <f>IF(AR87=0,$AV$78+0.1,AR87*G11)</f>
        <v>0.1</v>
      </c>
      <c r="AY82" s="94">
        <f>IF(AR90="",AQ90,AR90)</f>
        <v>0</v>
      </c>
      <c r="BB82" s="618">
        <v>90.49999999999963</v>
      </c>
      <c r="BC82" s="619">
        <v>1</v>
      </c>
      <c r="BD82" s="619">
        <v>1.02</v>
      </c>
      <c r="BE82" s="618">
        <v>90.49999999999963</v>
      </c>
      <c r="BF82" s="619">
        <v>1</v>
      </c>
      <c r="BG82" s="619">
        <v>1.01</v>
      </c>
      <c r="BH82" s="623">
        <f t="shared" si="8"/>
        <v>1</v>
      </c>
      <c r="BI82" s="623">
        <f t="shared" si="9"/>
        <v>1.02</v>
      </c>
    </row>
    <row r="83" spans="2:61" ht="12.75" hidden="1">
      <c r="B83" s="655"/>
      <c r="C83" s="655"/>
      <c r="V83" s="238">
        <v>83.20000000000022</v>
      </c>
      <c r="W83" s="212" t="s">
        <v>160</v>
      </c>
      <c r="X83" s="212" t="s">
        <v>160</v>
      </c>
      <c r="Y83" s="212" t="s">
        <v>160</v>
      </c>
      <c r="Z83" s="212" t="s">
        <v>160</v>
      </c>
      <c r="AA83" s="212" t="s">
        <v>160</v>
      </c>
      <c r="AB83" s="237" t="s">
        <v>160</v>
      </c>
      <c r="AC83" s="180"/>
      <c r="AD83" s="331" t="s">
        <v>163</v>
      </c>
      <c r="AE83" s="180">
        <v>2.5</v>
      </c>
      <c r="AF83" s="180">
        <v>93</v>
      </c>
      <c r="AG83" s="180">
        <v>5</v>
      </c>
      <c r="AH83" s="180">
        <v>2</v>
      </c>
      <c r="AI83" s="186">
        <v>1</v>
      </c>
      <c r="AJ83" s="173" t="s">
        <v>67</v>
      </c>
      <c r="AK83" s="174">
        <v>2</v>
      </c>
      <c r="AL83" s="92"/>
      <c r="AM83" s="92"/>
      <c r="AN83" s="92"/>
      <c r="AO83" s="92"/>
      <c r="AP83" s="92"/>
      <c r="AQ83" s="92"/>
      <c r="AR83" s="92"/>
      <c r="AS83" s="92"/>
      <c r="AT83" s="92"/>
      <c r="AU83" s="92"/>
      <c r="AV83" s="92"/>
      <c r="AW83" s="92"/>
      <c r="AX83" s="213">
        <f>IF(AS87=0,$AV$78+0.1,AS87*G11)</f>
        <v>0.1</v>
      </c>
      <c r="AY83" s="94">
        <f>IF(AS90="",AR90,AS90)</f>
        <v>0</v>
      </c>
      <c r="BB83" s="618">
        <v>90.59999999999962</v>
      </c>
      <c r="BC83" s="619">
        <v>1</v>
      </c>
      <c r="BD83" s="619">
        <v>1.02</v>
      </c>
      <c r="BE83" s="618">
        <v>90.59999999999962</v>
      </c>
      <c r="BF83" s="619">
        <v>1</v>
      </c>
      <c r="BG83" s="619">
        <v>1.02</v>
      </c>
      <c r="BH83" s="623">
        <f t="shared" si="8"/>
        <v>1</v>
      </c>
      <c r="BI83" s="623">
        <f t="shared" si="9"/>
        <v>1.02</v>
      </c>
    </row>
    <row r="84" spans="2:61" ht="12.75" hidden="1">
      <c r="B84" s="1" t="s">
        <v>257</v>
      </c>
      <c r="D84" s="1" t="e">
        <f>+HLOOKUP(D82,A79:M80,2,TRUE)</f>
        <v>#N/A</v>
      </c>
      <c r="V84" s="238">
        <v>83.30000000000021</v>
      </c>
      <c r="W84" s="212" t="s">
        <v>160</v>
      </c>
      <c r="X84" s="212" t="s">
        <v>160</v>
      </c>
      <c r="Y84" s="212" t="s">
        <v>160</v>
      </c>
      <c r="Z84" s="212" t="s">
        <v>160</v>
      </c>
      <c r="AA84" s="212" t="s">
        <v>160</v>
      </c>
      <c r="AB84" s="237" t="s">
        <v>160</v>
      </c>
      <c r="AC84" s="180"/>
      <c r="AD84" s="185" t="s">
        <v>165</v>
      </c>
      <c r="AE84" s="180">
        <v>2.5</v>
      </c>
      <c r="AF84" s="180">
        <v>92</v>
      </c>
      <c r="AG84" s="180">
        <v>6</v>
      </c>
      <c r="AH84" s="180">
        <v>1</v>
      </c>
      <c r="AI84" s="186">
        <v>1</v>
      </c>
      <c r="AJ84" s="92"/>
      <c r="AK84" s="92"/>
      <c r="AL84" s="175"/>
      <c r="AM84" s="175"/>
      <c r="AN84" s="175"/>
      <c r="AO84" s="175"/>
      <c r="AP84" s="175"/>
      <c r="AQ84" s="175"/>
      <c r="AR84" s="175"/>
      <c r="AS84" s="92"/>
      <c r="AT84" s="92"/>
      <c r="AU84" s="92"/>
      <c r="AV84" s="92"/>
      <c r="AW84" s="92"/>
      <c r="AX84" s="213">
        <f>IF(AT87=0,$AV$78+0.1,AT87*G11)</f>
        <v>0.1</v>
      </c>
      <c r="AY84" s="94">
        <f>IF(AT90="",AS90,AT90)</f>
        <v>0</v>
      </c>
      <c r="BB84" s="618">
        <v>90.69999999999962</v>
      </c>
      <c r="BC84" s="619">
        <v>1</v>
      </c>
      <c r="BD84" s="619">
        <v>1.02</v>
      </c>
      <c r="BE84" s="618">
        <v>90.69999999999962</v>
      </c>
      <c r="BF84" s="619">
        <v>1</v>
      </c>
      <c r="BG84" s="619">
        <v>1.02</v>
      </c>
      <c r="BH84" s="623">
        <f t="shared" si="8"/>
        <v>1</v>
      </c>
      <c r="BI84" s="623">
        <f t="shared" si="9"/>
        <v>1.02</v>
      </c>
    </row>
    <row r="85" spans="22:61" ht="12.75" hidden="1">
      <c r="V85" s="238">
        <v>83.4000000000002</v>
      </c>
      <c r="W85" s="212" t="s">
        <v>160</v>
      </c>
      <c r="X85" s="212" t="s">
        <v>160</v>
      </c>
      <c r="Y85" s="212" t="s">
        <v>160</v>
      </c>
      <c r="Z85" s="212" t="s">
        <v>160</v>
      </c>
      <c r="AA85" s="212" t="s">
        <v>160</v>
      </c>
      <c r="AB85" s="237" t="s">
        <v>160</v>
      </c>
      <c r="AC85" s="180"/>
      <c r="AD85" s="331" t="s">
        <v>164</v>
      </c>
      <c r="AE85" s="180">
        <v>3.5</v>
      </c>
      <c r="AF85" s="180">
        <v>92</v>
      </c>
      <c r="AG85" s="180">
        <v>2</v>
      </c>
      <c r="AH85" s="180">
        <v>2</v>
      </c>
      <c r="AI85" s="186">
        <v>3</v>
      </c>
      <c r="AJ85" s="92"/>
      <c r="AK85" s="176"/>
      <c r="AL85" s="175"/>
      <c r="AM85" s="175"/>
      <c r="AN85" s="175"/>
      <c r="AO85" s="175"/>
      <c r="AP85" s="175"/>
      <c r="AQ85" s="175"/>
      <c r="AR85" s="175"/>
      <c r="AS85" s="92"/>
      <c r="AT85" s="91"/>
      <c r="AU85" s="91"/>
      <c r="AV85" s="87"/>
      <c r="AW85" s="92"/>
      <c r="AX85" s="213">
        <f>IF(AU87=0,$AV$78+0.1,AU87*G11)</f>
        <v>0.1</v>
      </c>
      <c r="AY85" s="94">
        <f>IF(AU90="",AT90,AU90)</f>
        <v>0</v>
      </c>
      <c r="BB85" s="618">
        <v>90.79999999999961</v>
      </c>
      <c r="BC85" s="619">
        <v>1</v>
      </c>
      <c r="BD85" s="619">
        <v>1.02</v>
      </c>
      <c r="BE85" s="618">
        <v>90.79999999999961</v>
      </c>
      <c r="BF85" s="619">
        <v>1</v>
      </c>
      <c r="BG85" s="619">
        <v>1.02</v>
      </c>
      <c r="BH85" s="623">
        <f t="shared" si="8"/>
        <v>1</v>
      </c>
      <c r="BI85" s="623">
        <f t="shared" si="9"/>
        <v>1.02</v>
      </c>
    </row>
    <row r="86" spans="4:61" ht="12.75" hidden="1">
      <c r="D86" s="1">
        <v>1</v>
      </c>
      <c r="E86" s="1">
        <v>2</v>
      </c>
      <c r="F86" s="1">
        <v>3</v>
      </c>
      <c r="G86" s="1">
        <v>4</v>
      </c>
      <c r="H86" s="1">
        <v>5</v>
      </c>
      <c r="I86" s="1">
        <v>6</v>
      </c>
      <c r="J86" s="1">
        <v>7</v>
      </c>
      <c r="K86" s="1">
        <v>8</v>
      </c>
      <c r="M86" s="1">
        <v>9</v>
      </c>
      <c r="V86" s="238">
        <v>83.5000000000002</v>
      </c>
      <c r="W86" s="212" t="s">
        <v>160</v>
      </c>
      <c r="X86" s="212" t="s">
        <v>160</v>
      </c>
      <c r="Y86" s="212" t="s">
        <v>160</v>
      </c>
      <c r="Z86" s="212" t="s">
        <v>160</v>
      </c>
      <c r="AA86" s="212" t="s">
        <v>160</v>
      </c>
      <c r="AB86" s="237" t="s">
        <v>160</v>
      </c>
      <c r="AC86" s="180"/>
      <c r="AD86" s="185" t="s">
        <v>166</v>
      </c>
      <c r="AE86" s="180">
        <v>3.5</v>
      </c>
      <c r="AF86" s="180">
        <v>91</v>
      </c>
      <c r="AG86" s="180">
        <v>3</v>
      </c>
      <c r="AH86" s="180">
        <v>1</v>
      </c>
      <c r="AI86" s="186">
        <v>2</v>
      </c>
      <c r="AJ86" s="92" t="s">
        <v>54</v>
      </c>
      <c r="AK86" s="85">
        <f>VLOOKUP($D$9,$AD$77:$AI$88,6)</f>
        <v>3</v>
      </c>
      <c r="AL86" s="163" t="s">
        <v>55</v>
      </c>
      <c r="AM86" s="83" t="s">
        <v>56</v>
      </c>
      <c r="AN86" s="84">
        <v>1</v>
      </c>
      <c r="AO86" s="84">
        <v>2</v>
      </c>
      <c r="AP86" s="84">
        <v>3</v>
      </c>
      <c r="AQ86" s="84">
        <v>4</v>
      </c>
      <c r="AR86" s="84">
        <v>5</v>
      </c>
      <c r="AS86" s="84">
        <v>6</v>
      </c>
      <c r="AT86" s="164">
        <v>7</v>
      </c>
      <c r="AU86" s="84">
        <v>8</v>
      </c>
      <c r="AV86" s="164">
        <v>9</v>
      </c>
      <c r="AW86" s="92"/>
      <c r="AX86" s="213">
        <f>IF(AV87=0,$AV$78+0.1,AV87*G11)</f>
        <v>0.1</v>
      </c>
      <c r="AY86" s="94">
        <f>IF(AV90="",AU90,AV90)</f>
        <v>0</v>
      </c>
      <c r="BB86" s="618">
        <v>90.89999999999961</v>
      </c>
      <c r="BC86" s="619">
        <v>1</v>
      </c>
      <c r="BD86" s="619">
        <v>1.02</v>
      </c>
      <c r="BE86" s="618">
        <v>90.89999999999961</v>
      </c>
      <c r="BF86" s="619">
        <v>1</v>
      </c>
      <c r="BG86" s="619">
        <v>1.02</v>
      </c>
      <c r="BH86" s="623">
        <f t="shared" si="8"/>
        <v>1</v>
      </c>
      <c r="BI86" s="623">
        <f t="shared" si="9"/>
        <v>1.02</v>
      </c>
    </row>
    <row r="87" spans="4:61" ht="12.75" hidden="1">
      <c r="D87" s="656">
        <f aca="true" t="shared" si="11" ref="D87:M87">+D19</f>
        <v>0</v>
      </c>
      <c r="E87" s="656">
        <f t="shared" si="11"/>
        <v>0</v>
      </c>
      <c r="F87" s="656">
        <f t="shared" si="11"/>
        <v>0</v>
      </c>
      <c r="G87" s="656">
        <f t="shared" si="11"/>
        <v>0</v>
      </c>
      <c r="H87" s="656">
        <f t="shared" si="11"/>
        <v>0</v>
      </c>
      <c r="I87" s="656">
        <f t="shared" si="11"/>
        <v>0</v>
      </c>
      <c r="J87" s="656">
        <f t="shared" si="11"/>
        <v>0</v>
      </c>
      <c r="K87" s="656">
        <f t="shared" si="11"/>
        <v>0</v>
      </c>
      <c r="L87" s="656"/>
      <c r="M87" s="656">
        <f t="shared" si="11"/>
        <v>0</v>
      </c>
      <c r="V87" s="185">
        <v>83.6000000000002</v>
      </c>
      <c r="W87" s="212" t="s">
        <v>160</v>
      </c>
      <c r="X87" s="212" t="s">
        <v>160</v>
      </c>
      <c r="Y87" s="212" t="s">
        <v>160</v>
      </c>
      <c r="Z87" s="212" t="s">
        <v>160</v>
      </c>
      <c r="AA87" s="212" t="s">
        <v>160</v>
      </c>
      <c r="AB87" s="237" t="s">
        <v>160</v>
      </c>
      <c r="AC87" s="179"/>
      <c r="AD87" s="185" t="s">
        <v>16</v>
      </c>
      <c r="AE87" s="179">
        <v>3.5</v>
      </c>
      <c r="AF87" s="179">
        <v>92</v>
      </c>
      <c r="AG87" s="180">
        <v>2</v>
      </c>
      <c r="AH87" s="180">
        <v>2</v>
      </c>
      <c r="AI87" s="186">
        <v>3</v>
      </c>
      <c r="AJ87" s="92" t="s">
        <v>27</v>
      </c>
      <c r="AK87" s="85">
        <f>VLOOKUP($D$9,$AD$77:$AI$88,4)</f>
        <v>2</v>
      </c>
      <c r="AL87" s="165" t="s">
        <v>58</v>
      </c>
      <c r="AM87" s="83" t="s">
        <v>59</v>
      </c>
      <c r="AN87" s="84">
        <f aca="true" t="shared" si="12" ref="AN87:AU90">D14</f>
        <v>0</v>
      </c>
      <c r="AO87" s="84">
        <f t="shared" si="12"/>
        <v>0</v>
      </c>
      <c r="AP87" s="84">
        <f t="shared" si="12"/>
        <v>0</v>
      </c>
      <c r="AQ87" s="84">
        <f t="shared" si="12"/>
        <v>0</v>
      </c>
      <c r="AR87" s="84">
        <f t="shared" si="12"/>
        <v>0</v>
      </c>
      <c r="AS87" s="84">
        <f t="shared" si="12"/>
        <v>0</v>
      </c>
      <c r="AT87" s="84">
        <f t="shared" si="12"/>
        <v>0</v>
      </c>
      <c r="AU87" s="84">
        <f t="shared" si="12"/>
        <v>0</v>
      </c>
      <c r="AV87" s="84">
        <f>M14</f>
        <v>0</v>
      </c>
      <c r="AW87" s="92"/>
      <c r="AX87" s="213">
        <f>$AV$78+0.1</f>
        <v>0.1</v>
      </c>
      <c r="AY87" s="94"/>
      <c r="BB87" s="618">
        <v>90.9999999999996</v>
      </c>
      <c r="BC87" s="619">
        <v>1</v>
      </c>
      <c r="BD87" s="619">
        <v>1.02</v>
      </c>
      <c r="BE87" s="618">
        <v>90.9999999999996</v>
      </c>
      <c r="BF87" s="619">
        <v>1</v>
      </c>
      <c r="BG87" s="619">
        <v>1.02</v>
      </c>
      <c r="BH87" s="623">
        <f t="shared" si="8"/>
        <v>1</v>
      </c>
      <c r="BI87" s="623">
        <f t="shared" si="9"/>
        <v>1.02</v>
      </c>
    </row>
    <row r="88" spans="4:61" ht="13.5" hidden="1" thickBot="1">
      <c r="D88" s="1">
        <f aca="true" t="shared" si="13" ref="D88:M88">+IF(D19&gt;1,1,0)</f>
        <v>0</v>
      </c>
      <c r="E88" s="1">
        <f t="shared" si="13"/>
        <v>0</v>
      </c>
      <c r="F88" s="1">
        <f t="shared" si="13"/>
        <v>0</v>
      </c>
      <c r="G88" s="1">
        <f t="shared" si="13"/>
        <v>0</v>
      </c>
      <c r="H88" s="1">
        <f t="shared" si="13"/>
        <v>0</v>
      </c>
      <c r="I88" s="1">
        <f t="shared" si="13"/>
        <v>0</v>
      </c>
      <c r="J88" s="1">
        <f t="shared" si="13"/>
        <v>0</v>
      </c>
      <c r="K88" s="1">
        <f t="shared" si="13"/>
        <v>0</v>
      </c>
      <c r="M88" s="1">
        <f t="shared" si="13"/>
        <v>0</v>
      </c>
      <c r="V88" s="185">
        <v>83.70000000000019</v>
      </c>
      <c r="W88" s="212" t="s">
        <v>160</v>
      </c>
      <c r="X88" s="212" t="s">
        <v>160</v>
      </c>
      <c r="Y88" s="212" t="s">
        <v>160</v>
      </c>
      <c r="Z88" s="212" t="s">
        <v>160</v>
      </c>
      <c r="AA88" s="212" t="s">
        <v>160</v>
      </c>
      <c r="AB88" s="237" t="s">
        <v>160</v>
      </c>
      <c r="AC88" s="332"/>
      <c r="AD88" s="188" t="s">
        <v>70</v>
      </c>
      <c r="AE88" s="332">
        <v>3.5</v>
      </c>
      <c r="AF88" s="332">
        <v>91</v>
      </c>
      <c r="AG88" s="189">
        <v>3</v>
      </c>
      <c r="AH88" s="189">
        <v>1</v>
      </c>
      <c r="AI88" s="333">
        <v>3</v>
      </c>
      <c r="AJ88" s="92" t="s">
        <v>71</v>
      </c>
      <c r="AK88" s="85">
        <f>VLOOKUP($D$9,$AD$77:$AI$88,5)</f>
        <v>2</v>
      </c>
      <c r="AL88" s="165"/>
      <c r="AM88" s="83" t="s">
        <v>61</v>
      </c>
      <c r="AN88" s="84">
        <f t="shared" si="12"/>
        <v>0</v>
      </c>
      <c r="AO88" s="84">
        <f t="shared" si="12"/>
        <v>0</v>
      </c>
      <c r="AP88" s="84">
        <f t="shared" si="12"/>
        <v>0</v>
      </c>
      <c r="AQ88" s="84">
        <f t="shared" si="12"/>
        <v>0</v>
      </c>
      <c r="AR88" s="84">
        <f t="shared" si="12"/>
        <v>0</v>
      </c>
      <c r="AS88" s="84">
        <f t="shared" si="12"/>
        <v>0</v>
      </c>
      <c r="AT88" s="84">
        <f t="shared" si="12"/>
        <v>0</v>
      </c>
      <c r="AU88" s="84">
        <f t="shared" si="12"/>
        <v>0</v>
      </c>
      <c r="AV88" s="84">
        <f>M15</f>
        <v>0</v>
      </c>
      <c r="AW88" s="92"/>
      <c r="AX88" s="87"/>
      <c r="AY88" s="87"/>
      <c r="BB88" s="618">
        <v>91.0999999999996</v>
      </c>
      <c r="BC88" s="619">
        <v>1.01</v>
      </c>
      <c r="BD88" s="619">
        <v>1.02</v>
      </c>
      <c r="BE88" s="618">
        <v>91.0999999999996</v>
      </c>
      <c r="BF88" s="619">
        <v>1</v>
      </c>
      <c r="BG88" s="619">
        <v>1.02</v>
      </c>
      <c r="BH88" s="623">
        <f t="shared" si="8"/>
        <v>1.01</v>
      </c>
      <c r="BI88" s="623">
        <f t="shared" si="9"/>
        <v>1.02</v>
      </c>
    </row>
    <row r="89" spans="4:61" ht="12.75" hidden="1">
      <c r="D89" s="1">
        <f>+SUM(D88:M88)</f>
        <v>0</v>
      </c>
      <c r="V89" s="185">
        <v>83.80000000000018</v>
      </c>
      <c r="W89" s="212" t="s">
        <v>160</v>
      </c>
      <c r="X89" s="212" t="s">
        <v>160</v>
      </c>
      <c r="Y89" s="212" t="s">
        <v>160</v>
      </c>
      <c r="Z89" s="212" t="s">
        <v>160</v>
      </c>
      <c r="AA89" s="212" t="s">
        <v>160</v>
      </c>
      <c r="AB89" s="237" t="s">
        <v>160</v>
      </c>
      <c r="AC89" s="175"/>
      <c r="AD89" s="92"/>
      <c r="AE89" s="91"/>
      <c r="AF89" s="191" t="s">
        <v>72</v>
      </c>
      <c r="AG89" s="92"/>
      <c r="AH89" s="92"/>
      <c r="AI89" s="92"/>
      <c r="AJ89" s="92"/>
      <c r="AK89" s="85"/>
      <c r="AL89" s="168"/>
      <c r="AM89" s="83" t="s">
        <v>128</v>
      </c>
      <c r="AN89" s="84" t="e">
        <f t="shared" si="12"/>
        <v>#DIV/0!</v>
      </c>
      <c r="AO89" s="84" t="e">
        <f t="shared" si="12"/>
        <v>#DIV/0!</v>
      </c>
      <c r="AP89" s="84" t="e">
        <f t="shared" si="12"/>
        <v>#DIV/0!</v>
      </c>
      <c r="AQ89" s="84" t="e">
        <f t="shared" si="12"/>
        <v>#DIV/0!</v>
      </c>
      <c r="AR89" s="84" t="e">
        <f t="shared" si="12"/>
        <v>#DIV/0!</v>
      </c>
      <c r="AS89" s="84" t="e">
        <f t="shared" si="12"/>
        <v>#DIV/0!</v>
      </c>
      <c r="AT89" s="84" t="e">
        <f t="shared" si="12"/>
        <v>#DIV/0!</v>
      </c>
      <c r="AU89" s="84" t="e">
        <f t="shared" si="12"/>
        <v>#DIV/0!</v>
      </c>
      <c r="AV89" s="84" t="e">
        <f>M16</f>
        <v>#DIV/0!</v>
      </c>
      <c r="AW89" s="92"/>
      <c r="AX89" s="87"/>
      <c r="AY89" s="87"/>
      <c r="BB89" s="618">
        <v>91.19999999999959</v>
      </c>
      <c r="BC89" s="619">
        <v>1.01</v>
      </c>
      <c r="BD89" s="619">
        <v>1.02</v>
      </c>
      <c r="BE89" s="618">
        <v>91.19999999999959</v>
      </c>
      <c r="BF89" s="619">
        <v>1</v>
      </c>
      <c r="BG89" s="619">
        <v>1.02</v>
      </c>
      <c r="BH89" s="623">
        <f t="shared" si="8"/>
        <v>1.01</v>
      </c>
      <c r="BI89" s="623">
        <f t="shared" si="9"/>
        <v>1.02</v>
      </c>
    </row>
    <row r="90" spans="4:61" ht="12.75" hidden="1">
      <c r="D90" s="1" t="e">
        <f>+HLOOKUP(D89,D86:M87,2,TRUE)</f>
        <v>#N/A</v>
      </c>
      <c r="V90" s="185">
        <v>83.90000000000018</v>
      </c>
      <c r="W90" s="212" t="s">
        <v>160</v>
      </c>
      <c r="X90" s="212" t="s">
        <v>160</v>
      </c>
      <c r="Y90" s="212" t="s">
        <v>160</v>
      </c>
      <c r="Z90" s="212" t="s">
        <v>160</v>
      </c>
      <c r="AA90" s="212" t="s">
        <v>160</v>
      </c>
      <c r="AB90" s="237" t="s">
        <v>160</v>
      </c>
      <c r="AC90" s="175"/>
      <c r="AD90" s="92"/>
      <c r="AE90" s="91"/>
      <c r="AF90" s="192" t="s">
        <v>73</v>
      </c>
      <c r="AG90" s="92"/>
      <c r="AH90" s="92"/>
      <c r="AI90" s="92"/>
      <c r="AJ90" s="92"/>
      <c r="AK90" s="92"/>
      <c r="AL90" s="170"/>
      <c r="AM90" s="83" t="s">
        <v>64</v>
      </c>
      <c r="AN90" s="86">
        <f t="shared" si="12"/>
        <v>0</v>
      </c>
      <c r="AO90" s="86">
        <f t="shared" si="12"/>
        <v>0</v>
      </c>
      <c r="AP90" s="86">
        <f t="shared" si="12"/>
        <v>0</v>
      </c>
      <c r="AQ90" s="86">
        <f t="shared" si="12"/>
        <v>0</v>
      </c>
      <c r="AR90" s="86">
        <f t="shared" si="12"/>
        <v>0</v>
      </c>
      <c r="AS90" s="86">
        <f t="shared" si="12"/>
        <v>0</v>
      </c>
      <c r="AT90" s="86">
        <f t="shared" si="12"/>
        <v>0</v>
      </c>
      <c r="AU90" s="86">
        <f t="shared" si="12"/>
        <v>0</v>
      </c>
      <c r="AV90" s="86">
        <f>M17</f>
        <v>0</v>
      </c>
      <c r="AW90" s="92"/>
      <c r="AX90" s="87" t="s">
        <v>364</v>
      </c>
      <c r="AY90" s="87"/>
      <c r="BB90" s="618">
        <v>91.29999999999959</v>
      </c>
      <c r="BC90" s="619">
        <v>1.01</v>
      </c>
      <c r="BD90" s="619">
        <v>1.02</v>
      </c>
      <c r="BE90" s="618">
        <v>91.29999999999959</v>
      </c>
      <c r="BF90" s="619">
        <v>1</v>
      </c>
      <c r="BG90" s="619">
        <v>1.02</v>
      </c>
      <c r="BH90" s="623">
        <f t="shared" si="8"/>
        <v>1.01</v>
      </c>
      <c r="BI90" s="623">
        <f t="shared" si="9"/>
        <v>1.02</v>
      </c>
    </row>
    <row r="91" spans="22:61" ht="12.75" hidden="1">
      <c r="V91" s="185">
        <v>84.00000000000017</v>
      </c>
      <c r="W91" s="212" t="s">
        <v>160</v>
      </c>
      <c r="X91" s="212" t="s">
        <v>160</v>
      </c>
      <c r="Y91" s="212" t="s">
        <v>160</v>
      </c>
      <c r="Z91" s="212" t="s">
        <v>160</v>
      </c>
      <c r="AA91" s="212" t="s">
        <v>160</v>
      </c>
      <c r="AB91" s="237" t="s">
        <v>160</v>
      </c>
      <c r="AC91" s="92"/>
      <c r="AD91" s="306" t="s">
        <v>3</v>
      </c>
      <c r="AE91" s="193"/>
      <c r="AF91" s="92"/>
      <c r="AG91" s="92"/>
      <c r="AH91" s="92"/>
      <c r="AI91" s="92"/>
      <c r="AJ91" s="92"/>
      <c r="AK91" s="92"/>
      <c r="AL91" s="175"/>
      <c r="AM91" s="175"/>
      <c r="AN91" s="175"/>
      <c r="AO91" s="175"/>
      <c r="AP91" s="175"/>
      <c r="AQ91" s="175"/>
      <c r="AR91" s="175"/>
      <c r="AS91" s="85"/>
      <c r="AT91" s="91"/>
      <c r="AU91" s="91"/>
      <c r="AV91" s="92"/>
      <c r="AW91" s="92"/>
      <c r="AX91" s="87" t="s">
        <v>365</v>
      </c>
      <c r="AY91" s="93">
        <f>AV78</f>
        <v>0</v>
      </c>
      <c r="BB91" s="618">
        <v>91.39999999999958</v>
      </c>
      <c r="BC91" s="619">
        <v>1.01</v>
      </c>
      <c r="BD91" s="619">
        <v>1.02</v>
      </c>
      <c r="BE91" s="618">
        <v>91.39999999999958</v>
      </c>
      <c r="BF91" s="619">
        <v>1</v>
      </c>
      <c r="BG91" s="619">
        <v>1.02</v>
      </c>
      <c r="BH91" s="623">
        <f t="shared" si="8"/>
        <v>1.01</v>
      </c>
      <c r="BI91" s="623">
        <f t="shared" si="9"/>
        <v>1.02</v>
      </c>
    </row>
    <row r="92" spans="22:61" ht="13.5" hidden="1" thickBot="1">
      <c r="V92" s="185">
        <v>84.10000000000016</v>
      </c>
      <c r="W92" s="212" t="s">
        <v>160</v>
      </c>
      <c r="X92" s="212" t="s">
        <v>160</v>
      </c>
      <c r="Y92" s="212" t="s">
        <v>160</v>
      </c>
      <c r="Z92" s="212" t="s">
        <v>160</v>
      </c>
      <c r="AA92" s="212" t="s">
        <v>160</v>
      </c>
      <c r="AB92" s="237" t="s">
        <v>160</v>
      </c>
      <c r="AC92" s="92"/>
      <c r="AD92" s="307" t="s">
        <v>136</v>
      </c>
      <c r="AE92" s="85"/>
      <c r="AF92" s="85"/>
      <c r="AG92" s="92"/>
      <c r="AH92" s="92"/>
      <c r="AI92" s="92" t="s">
        <v>127</v>
      </c>
      <c r="AJ92" s="92"/>
      <c r="AK92" s="92"/>
      <c r="AL92" s="87"/>
      <c r="AM92" s="175"/>
      <c r="AN92" s="87"/>
      <c r="AO92" s="87"/>
      <c r="AP92" s="85" t="s">
        <v>74</v>
      </c>
      <c r="AQ92" s="85" t="s">
        <v>27</v>
      </c>
      <c r="AR92" s="85" t="s">
        <v>19</v>
      </c>
      <c r="AS92" s="85" t="s">
        <v>20</v>
      </c>
      <c r="AT92" s="85" t="s">
        <v>30</v>
      </c>
      <c r="AU92" s="89" t="s">
        <v>75</v>
      </c>
      <c r="AV92" s="92"/>
      <c r="AW92" s="92"/>
      <c r="AX92" s="92" t="s">
        <v>238</v>
      </c>
      <c r="AY92" s="91">
        <f>AV78</f>
        <v>0</v>
      </c>
      <c r="BB92" s="618">
        <v>91.49999999999957</v>
      </c>
      <c r="BC92" s="619">
        <v>1.01</v>
      </c>
      <c r="BD92" s="619">
        <v>1.02</v>
      </c>
      <c r="BE92" s="618">
        <v>91.49999999999957</v>
      </c>
      <c r="BF92" s="619">
        <v>1</v>
      </c>
      <c r="BG92" s="619">
        <v>1.02</v>
      </c>
      <c r="BH92" s="623">
        <f t="shared" si="8"/>
        <v>1.01</v>
      </c>
      <c r="BI92" s="623">
        <f t="shared" si="9"/>
        <v>1.02</v>
      </c>
    </row>
    <row r="93" spans="22:68" ht="13.5" hidden="1" thickBot="1">
      <c r="V93" s="238">
        <v>84.20000000000016</v>
      </c>
      <c r="W93" s="212" t="s">
        <v>160</v>
      </c>
      <c r="X93" s="212" t="s">
        <v>160</v>
      </c>
      <c r="Y93" s="212" t="s">
        <v>160</v>
      </c>
      <c r="Z93" s="212" t="s">
        <v>160</v>
      </c>
      <c r="AA93" s="212" t="s">
        <v>160</v>
      </c>
      <c r="AB93" s="237" t="s">
        <v>160</v>
      </c>
      <c r="AC93" s="92"/>
      <c r="AD93" s="92"/>
      <c r="AE93" s="175"/>
      <c r="AF93" s="175"/>
      <c r="AG93" s="175"/>
      <c r="AH93" s="175"/>
      <c r="AI93" s="227">
        <v>1</v>
      </c>
      <c r="AJ93" s="251" t="e">
        <f>IF(AR93&gt;=2.5,AP93*$AS$93,IF(AP93&lt;0,AP93*$AS93,0))</f>
        <v>#DIV/0!</v>
      </c>
      <c r="AK93" s="251" t="e">
        <f>IF(AR94&gt;=2.5,AP94*$AS$94,IF(AP94&lt;0,AP94*AS94,0))</f>
        <v>#DIV/0!</v>
      </c>
      <c r="AL93" s="251" t="e">
        <f>IF(AR95&gt;=2.5,AP95*$AS$95,IF(AP95&lt;0,AP95*AS95,0))</f>
        <v>#DIV/0!</v>
      </c>
      <c r="AM93" s="251" t="e">
        <f>IF(AR96&gt;=2.5,AP96*$AS$96,IF(AP96&lt;0,AP96*AS96,0))</f>
        <v>#N/A</v>
      </c>
      <c r="AN93" s="228" t="e">
        <f>IF($AK$87=1,VLOOKUP(AQ93,$V$78:$AB$228,2),IF($AK$87=2,VLOOKUP(AQ93,$V$78:$AB$228,3),IF($AK$87=3,VLOOKUP(AQ93,$V$78:$AB$228,4),IF($AK$87=4,VLOOKUP(AQ93,$V$78:$AB$228,5),IF($AK$87=5,VLOOKUP(AQ93,$V$78:$AB$228,6),IF($AK$87=6,VLOOKUP(AQ93,$V$78:$AB228,7,999)))))))</f>
        <v>#N/A</v>
      </c>
      <c r="AO93" s="252">
        <f>IF(OR(E23&gt;(E25+0.03),E23&lt;(E25-0.03)),E25,E23)</f>
        <v>0</v>
      </c>
      <c r="AP93" s="253" t="e">
        <f>IF(AT93="SEE SPEC.","0",(((1+AT93)*(AX93))-1)*$AT$82)</f>
        <v>#N/A</v>
      </c>
      <c r="AQ93" s="254">
        <f>G23</f>
      </c>
      <c r="AR93" s="255" t="e">
        <f aca="true" t="shared" si="14" ref="AR93:AR116">IF(AS93="","",IF($K$75="no",VLOOKUP(AY93-0.1,$AX$78:$AY$87,2),$H$77))</f>
        <v>#DIV/0!</v>
      </c>
      <c r="AS93" s="255" t="e">
        <f>AE163</f>
        <v>#DIV/0!</v>
      </c>
      <c r="AT93" s="228" t="e">
        <f>IF($AN$93="SEE SPEC.","SEE SPEC.",IF(AND($AK$88=1,$AN$93&gt;=0),0,$AN$93))</f>
        <v>#N/A</v>
      </c>
      <c r="AU93" s="251" t="e">
        <f>IF(AND($AK$88=1,AW93&gt;0),0,AW93)</f>
        <v>#N/A</v>
      </c>
      <c r="AV93" s="228" t="e">
        <f aca="true" t="shared" si="15" ref="AV93:AV116">IF(AND(AR93&lt;$AV$81,AND(AT93&lt;&gt;"SEE SPEC.",NOT(AP93&lt;0))),"low voids",AT93)</f>
        <v>#DIV/0!</v>
      </c>
      <c r="AW93" s="251" t="e">
        <f>IF(AT93="SEE SPEC.","SEE SPEC.",IF($AK$86=3,AJ95,IF($AK$86=2,AJ94,IF($AK$86=1,AJ93))))</f>
        <v>#N/A</v>
      </c>
      <c r="AX93" s="231">
        <f>E101*F101</f>
        <v>1</v>
      </c>
      <c r="AY93" s="91" t="e">
        <f>AS93</f>
        <v>#DIV/0!</v>
      </c>
      <c r="BB93" s="618">
        <v>91.59999999999957</v>
      </c>
      <c r="BC93" s="619">
        <v>1.02</v>
      </c>
      <c r="BD93" s="619">
        <v>1.02</v>
      </c>
      <c r="BE93" s="618">
        <v>91.59999999999957</v>
      </c>
      <c r="BF93" s="619">
        <v>1</v>
      </c>
      <c r="BG93" s="619">
        <v>1.02</v>
      </c>
      <c r="BH93" s="623">
        <f t="shared" si="8"/>
        <v>1.02</v>
      </c>
      <c r="BI93" s="623">
        <f t="shared" si="9"/>
        <v>1.02</v>
      </c>
      <c r="BP93" s="251"/>
    </row>
    <row r="94" spans="4:68" ht="13.5" hidden="1" thickBot="1">
      <c r="D94" s="698" t="s">
        <v>374</v>
      </c>
      <c r="V94" s="238">
        <v>84.30000000000015</v>
      </c>
      <c r="W94" s="212" t="s">
        <v>160</v>
      </c>
      <c r="X94" s="212" t="s">
        <v>160</v>
      </c>
      <c r="Y94" s="212" t="s">
        <v>160</v>
      </c>
      <c r="Z94" s="212" t="s">
        <v>160</v>
      </c>
      <c r="AA94" s="212" t="s">
        <v>160</v>
      </c>
      <c r="AB94" s="237" t="s">
        <v>160</v>
      </c>
      <c r="AC94" s="92"/>
      <c r="AD94" s="92"/>
      <c r="AE94" s="92"/>
      <c r="AF94" s="175"/>
      <c r="AG94" s="175"/>
      <c r="AH94" s="175"/>
      <c r="AI94" s="230"/>
      <c r="AJ94" s="225" t="e">
        <f>IF(AR93&gt;=3,AP93*$AS$93,IF(AP93&lt;0,AP93*AS93,0))</f>
        <v>#DIV/0!</v>
      </c>
      <c r="AK94" s="225" t="e">
        <f>IF(AR94&gt;=3,AP94*$AS$94,IF(AP94&lt;0,AP94*AS94,0))</f>
        <v>#DIV/0!</v>
      </c>
      <c r="AL94" s="225" t="e">
        <f>IF(AR95&gt;=3,AP95*$AS$95,IF(AP95&lt;0,AP95*AS95,0))</f>
        <v>#DIV/0!</v>
      </c>
      <c r="AM94" s="225" t="e">
        <f>IF(AR96&gt;=3,AP96*$AS$96,IF(AP96&lt;0,AP96*AS96,0))</f>
        <v>#N/A</v>
      </c>
      <c r="AN94" s="223"/>
      <c r="AO94" s="256">
        <f>IF(OR(E24&gt;(E25+0.03),E24&lt;(E25-0.03)),E25,E24)</f>
        <v>0</v>
      </c>
      <c r="AP94" s="253" t="e">
        <f aca="true" t="shared" si="16" ref="AP94:AP116">IF(AT94="SEE SPEC.","0",(((1+AT94)*(AX94))-1)*$AT$82)</f>
        <v>#N/A</v>
      </c>
      <c r="AQ94" s="258"/>
      <c r="AR94" s="226" t="e">
        <f t="shared" si="14"/>
        <v>#DIV/0!</v>
      </c>
      <c r="AS94" s="226" t="e">
        <f>AE164</f>
        <v>#DIV/0!</v>
      </c>
      <c r="AT94" s="223" t="e">
        <f>IF($AN$93="SEE SPEC.","SEE SPEC.",IF(AND($AK$88=1,$AN$93&gt;=0),0,$AN$93))</f>
        <v>#N/A</v>
      </c>
      <c r="AU94" s="225" t="e">
        <f aca="true" t="shared" si="17" ref="AU94:AU116">IF(AND($AK$88=1,AW94&gt;0),0,AW94)</f>
        <v>#N/A</v>
      </c>
      <c r="AV94" s="223" t="e">
        <f t="shared" si="15"/>
        <v>#DIV/0!</v>
      </c>
      <c r="AW94" s="225" t="e">
        <f>IF(AT94="SEE SPEC.","SEE SPEC.",IF($AK$86=3,AK95,IF($AK$86=2,AK94,IF($AK$86=1,AK93))))</f>
        <v>#N/A</v>
      </c>
      <c r="AX94" s="231">
        <f>E102*F102</f>
        <v>1</v>
      </c>
      <c r="AY94" s="91" t="e">
        <f>SUM($AS$93:AS94)</f>
        <v>#DIV/0!</v>
      </c>
      <c r="BB94" s="618">
        <v>91.69999999999956</v>
      </c>
      <c r="BC94" s="619">
        <v>1.02</v>
      </c>
      <c r="BD94" s="619">
        <v>1.02</v>
      </c>
      <c r="BE94" s="618">
        <v>91.69999999999956</v>
      </c>
      <c r="BF94" s="619">
        <v>1</v>
      </c>
      <c r="BG94" s="619">
        <v>1.02</v>
      </c>
      <c r="BH94" s="623">
        <f t="shared" si="8"/>
        <v>1.02</v>
      </c>
      <c r="BI94" s="623">
        <f t="shared" si="9"/>
        <v>1.02</v>
      </c>
      <c r="BP94" s="225"/>
    </row>
    <row r="95" spans="5:68" ht="13.5" hidden="1" thickBot="1">
      <c r="E95" s="1" t="s">
        <v>364</v>
      </c>
      <c r="F95" s="1" t="s">
        <v>364</v>
      </c>
      <c r="V95" s="238">
        <v>84.40000000000015</v>
      </c>
      <c r="W95" s="212" t="s">
        <v>160</v>
      </c>
      <c r="X95" s="212" t="s">
        <v>160</v>
      </c>
      <c r="Y95" s="212" t="s">
        <v>160</v>
      </c>
      <c r="Z95" s="212" t="s">
        <v>160</v>
      </c>
      <c r="AA95" s="212" t="s">
        <v>160</v>
      </c>
      <c r="AB95" s="237" t="s">
        <v>160</v>
      </c>
      <c r="AC95" s="92"/>
      <c r="AD95" s="194" t="s">
        <v>76</v>
      </c>
      <c r="AE95" s="195">
        <v>2</v>
      </c>
      <c r="AF95" s="175"/>
      <c r="AG95" s="196" t="s">
        <v>125</v>
      </c>
      <c r="AH95" s="175"/>
      <c r="AI95" s="230"/>
      <c r="AJ95" s="225" t="e">
        <f>IF(AR93&gt;=3.5,AP93*$AS$93,IF(AP93&lt;0,AP93*AS93,0))</f>
        <v>#DIV/0!</v>
      </c>
      <c r="AK95" s="225" t="e">
        <f>IF(AR94&gt;=3.5,AP94*$AS$94,IF(AP94&lt;0,AP94*AS94,0))</f>
        <v>#DIV/0!</v>
      </c>
      <c r="AL95" s="225" t="e">
        <f>IF(AR95&gt;=3.5,AP95*$AS95,IF(AP95&lt;0,AP95*AS95,0))</f>
        <v>#DIV/0!</v>
      </c>
      <c r="AM95" s="225" t="e">
        <f>IF(AR96&gt;=3.5,AP96*$AS96,IF(AP96&lt;0,AP96*AS96,0))</f>
        <v>#N/A</v>
      </c>
      <c r="AN95" s="223"/>
      <c r="AO95" s="256"/>
      <c r="AP95" s="253" t="e">
        <f t="shared" si="16"/>
        <v>#N/A</v>
      </c>
      <c r="AQ95" s="258"/>
      <c r="AR95" s="226" t="e">
        <f t="shared" si="14"/>
        <v>#DIV/0!</v>
      </c>
      <c r="AS95" s="226" t="e">
        <f>AE165</f>
        <v>#DIV/0!</v>
      </c>
      <c r="AT95" s="223" t="e">
        <f>IF($AN$93="SEE SPEC.","SEE SPEC.",IF(AND($AK$88=1,$AN$93&gt;=0),0,$AN$93))</f>
        <v>#N/A</v>
      </c>
      <c r="AU95" s="225" t="e">
        <f t="shared" si="17"/>
        <v>#N/A</v>
      </c>
      <c r="AV95" s="223" t="e">
        <f t="shared" si="15"/>
        <v>#DIV/0!</v>
      </c>
      <c r="AW95" s="225" t="e">
        <f>IF(AT95="SEE SPEC.","SEE SPEC.",IF($AK$86=3,AL95,IF($AK$86=2,AL94,IF($AK$86=1,AL93))))</f>
        <v>#N/A</v>
      </c>
      <c r="AX95" s="231">
        <f>$AX$94</f>
        <v>1</v>
      </c>
      <c r="AY95" s="91" t="e">
        <f>SUM($AS$93:AS95)</f>
        <v>#DIV/0!</v>
      </c>
      <c r="BB95" s="618">
        <v>91.79999999999956</v>
      </c>
      <c r="BC95" s="619">
        <v>1.02</v>
      </c>
      <c r="BD95" s="619">
        <v>1.02</v>
      </c>
      <c r="BE95" s="618">
        <v>91.79999999999956</v>
      </c>
      <c r="BF95" s="619">
        <v>1</v>
      </c>
      <c r="BG95" s="619">
        <v>1.02</v>
      </c>
      <c r="BH95" s="623">
        <f t="shared" si="8"/>
        <v>1.02</v>
      </c>
      <c r="BI95" s="623">
        <f t="shared" si="9"/>
        <v>1.02</v>
      </c>
      <c r="BP95" s="225"/>
    </row>
    <row r="96" spans="5:68" ht="13.5" hidden="1" thickBot="1">
      <c r="E96" s="1" t="s">
        <v>365</v>
      </c>
      <c r="F96" s="1" t="s">
        <v>365</v>
      </c>
      <c r="V96" s="238">
        <v>84.50000000000014</v>
      </c>
      <c r="W96" s="212" t="s">
        <v>160</v>
      </c>
      <c r="X96" s="212" t="s">
        <v>160</v>
      </c>
      <c r="Y96" s="212" t="s">
        <v>160</v>
      </c>
      <c r="Z96" s="212" t="s">
        <v>160</v>
      </c>
      <c r="AA96" s="212" t="s">
        <v>160</v>
      </c>
      <c r="AB96" s="237" t="s">
        <v>160</v>
      </c>
      <c r="AC96" s="92"/>
      <c r="AD96" s="74" t="s">
        <v>77</v>
      </c>
      <c r="AE96" s="178">
        <v>1</v>
      </c>
      <c r="AF96" s="175"/>
      <c r="AG96" s="92">
        <f>VLOOKUP(D11,AD95:AE96,2)</f>
        <v>2</v>
      </c>
      <c r="AH96" s="175"/>
      <c r="AI96" s="259"/>
      <c r="AJ96" s="260"/>
      <c r="AK96" s="260"/>
      <c r="AL96" s="260"/>
      <c r="AM96" s="260"/>
      <c r="AN96" s="233"/>
      <c r="AO96" s="261"/>
      <c r="AP96" s="253" t="e">
        <f t="shared" si="16"/>
        <v>#N/A</v>
      </c>
      <c r="AQ96" s="263"/>
      <c r="AR96" s="264" t="e">
        <f t="shared" si="14"/>
        <v>#N/A</v>
      </c>
      <c r="AS96" s="264" t="e">
        <f>AE166</f>
        <v>#N/A</v>
      </c>
      <c r="AT96" s="233" t="e">
        <f>IF($AN$93="SEE SPEC.","SEE SPEC.",IF(AND($AK$88=1,$AN$93&gt;=0),0,$AN$93))</f>
        <v>#N/A</v>
      </c>
      <c r="AU96" s="260" t="e">
        <f t="shared" si="17"/>
        <v>#N/A</v>
      </c>
      <c r="AV96" s="233" t="e">
        <f t="shared" si="15"/>
        <v>#N/A</v>
      </c>
      <c r="AW96" s="260" t="e">
        <f>IF(AT96="SEE SPEC.","SEE SPEC.",IF($AK$86=3,AM95,IF($AK$86=2,AM94,IF($AK$86=1,AM93))))</f>
        <v>#N/A</v>
      </c>
      <c r="AX96" s="231">
        <f>$AX$94</f>
        <v>1</v>
      </c>
      <c r="AY96" s="91" t="e">
        <f>SUM($AS$93:AS96)</f>
        <v>#DIV/0!</v>
      </c>
      <c r="BB96" s="618">
        <v>91.89999999999955</v>
      </c>
      <c r="BC96" s="619">
        <v>1.02</v>
      </c>
      <c r="BD96" s="619">
        <v>1.02</v>
      </c>
      <c r="BE96" s="618">
        <v>91.89999999999955</v>
      </c>
      <c r="BF96" s="619">
        <v>1</v>
      </c>
      <c r="BG96" s="619">
        <v>1.02</v>
      </c>
      <c r="BH96" s="623">
        <f t="shared" si="8"/>
        <v>1.02</v>
      </c>
      <c r="BI96" s="623">
        <f t="shared" si="9"/>
        <v>1.02</v>
      </c>
      <c r="BP96" s="260"/>
    </row>
    <row r="97" spans="4:68" ht="13.5" hidden="1" thickBot="1">
      <c r="D97" s="1" t="s">
        <v>362</v>
      </c>
      <c r="E97" s="1" t="s">
        <v>358</v>
      </c>
      <c r="F97" s="1" t="s">
        <v>358</v>
      </c>
      <c r="G97" s="1" t="s">
        <v>364</v>
      </c>
      <c r="V97" s="185">
        <v>84.60000000000014</v>
      </c>
      <c r="W97" s="212" t="s">
        <v>160</v>
      </c>
      <c r="X97" s="212" t="s">
        <v>160</v>
      </c>
      <c r="Y97" s="212" t="s">
        <v>160</v>
      </c>
      <c r="Z97" s="212" t="s">
        <v>160</v>
      </c>
      <c r="AA97" s="212" t="s">
        <v>160</v>
      </c>
      <c r="AB97" s="237" t="s">
        <v>160</v>
      </c>
      <c r="AC97" s="92"/>
      <c r="AD97" s="92"/>
      <c r="AE97" s="92"/>
      <c r="AF97" s="175"/>
      <c r="AG97" s="175"/>
      <c r="AH97" s="175"/>
      <c r="AI97" s="227">
        <v>2</v>
      </c>
      <c r="AJ97" s="251" t="e">
        <f>IF(AR97&gt;=2.5,AP97*AS97,IF(AP97&lt;0,AP97*AS97,0))</f>
        <v>#DIV/0!</v>
      </c>
      <c r="AK97" s="251" t="e">
        <f>IF(AR98&gt;=2.5,AP98*AS98,IF(AP98&lt;0,AP98*AS98,0))</f>
        <v>#DIV/0!</v>
      </c>
      <c r="AL97" s="251" t="e">
        <f>IF(AR99&gt;=2.5,AP99*AS99,IF(AP99&lt;0,AP99*AS99,0))</f>
        <v>#DIV/0!</v>
      </c>
      <c r="AM97" s="251" t="e">
        <f>IF(AR100&gt;=2.5,AP100*AS100,IF(AP100&lt;0,AP100*AS100,0))</f>
        <v>#N/A</v>
      </c>
      <c r="AN97" s="228" t="e">
        <f>IF($AK$87=1,VLOOKUP(AQ97,$V$78:$AB$228,2),IF($AK$87=2,VLOOKUP(AQ97,$V$78:$AB$228,3),IF($AK$87=3,VLOOKUP(AQ97,$V$78:$AB$228,4),IF($AK$87=4,VLOOKUP(AQ97,$V$78:$AB$228,5),IF($AK$87=5,VLOOKUP(AQ97,$V$78:$AB$228,6),IF($AK$87=6,VLOOKUP(AQ97,$V$78:$AB231,7,999)))))))</f>
        <v>#N/A</v>
      </c>
      <c r="AO97" s="252">
        <f>IF(OR(E27&gt;(E29+0.03),E27&lt;(E29-0.03)),E29,E27)</f>
        <v>0</v>
      </c>
      <c r="AP97" s="253" t="e">
        <f t="shared" si="16"/>
        <v>#N/A</v>
      </c>
      <c r="AQ97" s="254">
        <f>G27</f>
      </c>
      <c r="AR97" s="255" t="e">
        <f t="shared" si="14"/>
        <v>#DIV/0!</v>
      </c>
      <c r="AS97" s="255" t="e">
        <f>AF163</f>
        <v>#DIV/0!</v>
      </c>
      <c r="AT97" s="228" t="e">
        <f>IF($AN$97="SEE SPEC.","SEE SPEC.",IF(AND($AK$88=1,$AN$97&gt;=0),0,$AN$97))</f>
        <v>#N/A</v>
      </c>
      <c r="AU97" s="251" t="e">
        <f t="shared" si="17"/>
        <v>#N/A</v>
      </c>
      <c r="AV97" s="228" t="e">
        <f t="shared" si="15"/>
        <v>#DIV/0!</v>
      </c>
      <c r="AW97" s="251" t="e">
        <f>IF(AT97="SEE SPEC.","SEE SPEC.",IF($AK$86=3,AJ99,IF($AK$86=2,AJ98,IF($AK$86=1,AJ97))))</f>
        <v>#N/A</v>
      </c>
      <c r="AX97" s="231" t="e">
        <f>E105*F105</f>
        <v>#N/A</v>
      </c>
      <c r="AY97" s="91" t="e">
        <f>SUM($AS$93:AS97)</f>
        <v>#DIV/0!</v>
      </c>
      <c r="BB97" s="618">
        <v>91.99999999999955</v>
      </c>
      <c r="BC97" s="619">
        <v>1.02</v>
      </c>
      <c r="BD97" s="619">
        <v>1.02</v>
      </c>
      <c r="BE97" s="618">
        <v>91.99999999999955</v>
      </c>
      <c r="BF97" s="619">
        <v>1</v>
      </c>
      <c r="BG97" s="619">
        <v>1.02</v>
      </c>
      <c r="BH97" s="623">
        <f t="shared" si="8"/>
        <v>1.02</v>
      </c>
      <c r="BI97" s="623">
        <f t="shared" si="9"/>
        <v>1.02</v>
      </c>
      <c r="BP97" s="251"/>
    </row>
    <row r="98" spans="4:68" ht="13.5" hidden="1" thickBot="1">
      <c r="D98" s="1" t="s">
        <v>363</v>
      </c>
      <c r="E98" s="1" t="s">
        <v>359</v>
      </c>
      <c r="F98" s="1" t="s">
        <v>359</v>
      </c>
      <c r="G98" s="1" t="s">
        <v>365</v>
      </c>
      <c r="V98" s="185">
        <v>84.70000000000013</v>
      </c>
      <c r="W98" s="212" t="s">
        <v>160</v>
      </c>
      <c r="X98" s="212" t="s">
        <v>160</v>
      </c>
      <c r="Y98" s="212" t="s">
        <v>160</v>
      </c>
      <c r="Z98" s="212" t="s">
        <v>160</v>
      </c>
      <c r="AA98" s="212" t="s">
        <v>160</v>
      </c>
      <c r="AB98" s="237" t="s">
        <v>160</v>
      </c>
      <c r="AC98" s="92"/>
      <c r="AD98" s="92"/>
      <c r="AE98" s="92"/>
      <c r="AF98" s="175"/>
      <c r="AG98" s="175"/>
      <c r="AH98" s="175"/>
      <c r="AI98" s="230"/>
      <c r="AJ98" s="225" t="e">
        <f>IF(AR97&gt;=3,AP97*AS97,IF(AP97&lt;0,AP97*AS97,0))</f>
        <v>#DIV/0!</v>
      </c>
      <c r="AK98" s="225" t="e">
        <f>IF(AR98&gt;=3,AP98*AS98,IF(AP98&lt;0,AP98*AS98,0))</f>
        <v>#DIV/0!</v>
      </c>
      <c r="AL98" s="225" t="e">
        <f>IF(AR99&gt;=3,AP99*AS99,IF(AP99&lt;0,AP99*AS99,0))</f>
        <v>#DIV/0!</v>
      </c>
      <c r="AM98" s="225" t="e">
        <f>IF(AR100&gt;=3,AP100*AS100,IF(AP100&lt;0,AP100*AS100,0))</f>
        <v>#N/A</v>
      </c>
      <c r="AN98" s="223"/>
      <c r="AO98" s="256">
        <f>IF(OR(E28&gt;(E29+0.03),E28&lt;(E29-0.03)),E29,E28)</f>
        <v>0</v>
      </c>
      <c r="AP98" s="253" t="e">
        <f t="shared" si="16"/>
        <v>#N/A</v>
      </c>
      <c r="AQ98" s="258"/>
      <c r="AR98" s="226" t="e">
        <f t="shared" si="14"/>
        <v>#DIV/0!</v>
      </c>
      <c r="AS98" s="226" t="e">
        <f>AF164</f>
        <v>#DIV/0!</v>
      </c>
      <c r="AT98" s="223" t="e">
        <f>IF($AN$97="SEE SPEC.","SEE SPEC.",IF(AND($AK$88=1,$AN$97&gt;=0),0,$AN$97))</f>
        <v>#N/A</v>
      </c>
      <c r="AU98" s="225" t="e">
        <f t="shared" si="17"/>
        <v>#N/A</v>
      </c>
      <c r="AV98" s="223" t="e">
        <f t="shared" si="15"/>
        <v>#DIV/0!</v>
      </c>
      <c r="AW98" s="225" t="e">
        <f>IF(AT98="SEE SPEC.","SEE SPEC.",IF($AK$86=3,AK99,IF($AK$86=2,AK98,IF($AK$86=1,AK97))))</f>
        <v>#N/A</v>
      </c>
      <c r="AX98" s="231" t="e">
        <f>E106*F106</f>
        <v>#N/A</v>
      </c>
      <c r="AY98" s="91" t="e">
        <f>SUM($AS$93:AS98)</f>
        <v>#DIV/0!</v>
      </c>
      <c r="BB98" s="618">
        <v>92.09999999999954</v>
      </c>
      <c r="BC98" s="619">
        <v>1.02</v>
      </c>
      <c r="BD98" s="619">
        <v>1.02</v>
      </c>
      <c r="BE98" s="618">
        <v>92.09999999999954</v>
      </c>
      <c r="BF98" s="619">
        <v>1.01</v>
      </c>
      <c r="BG98" s="619">
        <v>1.02</v>
      </c>
      <c r="BH98" s="623">
        <f t="shared" si="8"/>
        <v>1.02</v>
      </c>
      <c r="BI98" s="623">
        <f t="shared" si="9"/>
        <v>1.02</v>
      </c>
      <c r="BP98" s="225"/>
    </row>
    <row r="99" spans="4:68" ht="13.5" hidden="1" thickBot="1">
      <c r="D99" s="1" t="s">
        <v>358</v>
      </c>
      <c r="E99" s="1" t="s">
        <v>366</v>
      </c>
      <c r="F99" s="1" t="s">
        <v>367</v>
      </c>
      <c r="G99" s="1" t="s">
        <v>358</v>
      </c>
      <c r="V99" s="185">
        <v>84.80000000000013</v>
      </c>
      <c r="W99" s="212" t="s">
        <v>160</v>
      </c>
      <c r="X99" s="212" t="s">
        <v>160</v>
      </c>
      <c r="Y99" s="212" t="s">
        <v>160</v>
      </c>
      <c r="Z99" s="212" t="s">
        <v>160</v>
      </c>
      <c r="AA99" s="212" t="s">
        <v>160</v>
      </c>
      <c r="AB99" s="237" t="s">
        <v>160</v>
      </c>
      <c r="AC99" s="92"/>
      <c r="AD99" s="182" t="s">
        <v>78</v>
      </c>
      <c r="AE99" s="183" t="s">
        <v>79</v>
      </c>
      <c r="AF99" s="183" t="s">
        <v>3</v>
      </c>
      <c r="AG99" s="184"/>
      <c r="AH99" s="175"/>
      <c r="AI99" s="230"/>
      <c r="AJ99" s="225" t="e">
        <f>IF(AR97&gt;=3.5,AP97*AS97,IF(AP97&lt;0,AP97*AS97,0))</f>
        <v>#DIV/0!</v>
      </c>
      <c r="AK99" s="225" t="e">
        <f>IF(AR98&gt;=3.5,AP98*AS98,IF(AP98&lt;0,AP98*AS98,0))</f>
        <v>#DIV/0!</v>
      </c>
      <c r="AL99" s="225" t="e">
        <f>IF(AR99&gt;=3.5,AP99*AS99,IF(AP99&lt;0,AP99*AS99,0))</f>
        <v>#DIV/0!</v>
      </c>
      <c r="AM99" s="225" t="e">
        <f>IF(AR100&gt;=3.5,AP100*AS100,IF(AP100&lt;0,AP100*AS100,0))</f>
        <v>#N/A</v>
      </c>
      <c r="AN99" s="223"/>
      <c r="AO99" s="256"/>
      <c r="AP99" s="253" t="e">
        <f t="shared" si="16"/>
        <v>#N/A</v>
      </c>
      <c r="AQ99" s="258"/>
      <c r="AR99" s="226" t="e">
        <f t="shared" si="14"/>
        <v>#DIV/0!</v>
      </c>
      <c r="AS99" s="226" t="e">
        <f>AF165</f>
        <v>#DIV/0!</v>
      </c>
      <c r="AT99" s="223" t="e">
        <f>IF($AN$97="SEE SPEC.","SEE SPEC.",IF(AND($AK$88=1,$AN$97&gt;=0),0,$AN$97))</f>
        <v>#N/A</v>
      </c>
      <c r="AU99" s="225" t="e">
        <f t="shared" si="17"/>
        <v>#N/A</v>
      </c>
      <c r="AV99" s="223" t="e">
        <f t="shared" si="15"/>
        <v>#DIV/0!</v>
      </c>
      <c r="AW99" s="225" t="e">
        <f>IF(AT99="SEE SPEC.","SEE SPEC.",IF($AK$86=3,AL99,IF($AK$86=2,AL98,IF($AK$86=1,AL97))))</f>
        <v>#N/A</v>
      </c>
      <c r="AX99" s="231" t="e">
        <f>$AX$98</f>
        <v>#N/A</v>
      </c>
      <c r="AY99" s="91" t="e">
        <f>SUM($AS$93:AS99)</f>
        <v>#DIV/0!</v>
      </c>
      <c r="BB99" s="618">
        <v>92.19999999999953</v>
      </c>
      <c r="BC99" s="619">
        <v>1.02</v>
      </c>
      <c r="BD99" s="619">
        <v>1.02</v>
      </c>
      <c r="BE99" s="618">
        <v>92.19999999999953</v>
      </c>
      <c r="BF99" s="619">
        <v>1.01</v>
      </c>
      <c r="BG99" s="619">
        <v>1.02</v>
      </c>
      <c r="BH99" s="623">
        <f t="shared" si="8"/>
        <v>1.02</v>
      </c>
      <c r="BI99" s="623">
        <f t="shared" si="9"/>
        <v>1.02</v>
      </c>
      <c r="BP99" s="225"/>
    </row>
    <row r="100" spans="2:68" ht="13.5" hidden="1" thickBot="1">
      <c r="B100" s="1" t="s">
        <v>368</v>
      </c>
      <c r="C100" s="1" t="s">
        <v>361</v>
      </c>
      <c r="D100" s="1" t="s">
        <v>359</v>
      </c>
      <c r="E100" s="1" t="s">
        <v>269</v>
      </c>
      <c r="F100" s="1" t="s">
        <v>269</v>
      </c>
      <c r="G100" s="1" t="s">
        <v>359</v>
      </c>
      <c r="V100" s="185">
        <v>84.90000000000012</v>
      </c>
      <c r="W100" s="212" t="s">
        <v>160</v>
      </c>
      <c r="X100" s="212" t="s">
        <v>160</v>
      </c>
      <c r="Y100" s="212" t="s">
        <v>160</v>
      </c>
      <c r="Z100" s="212" t="s">
        <v>160</v>
      </c>
      <c r="AA100" s="212" t="s">
        <v>160</v>
      </c>
      <c r="AB100" s="237" t="s">
        <v>160</v>
      </c>
      <c r="AC100" s="92"/>
      <c r="AD100" s="185">
        <v>0.1</v>
      </c>
      <c r="AE100" s="180">
        <v>0</v>
      </c>
      <c r="AF100" s="180">
        <v>0.1</v>
      </c>
      <c r="AG100" s="186">
        <v>0</v>
      </c>
      <c r="AH100" s="175"/>
      <c r="AI100" s="259"/>
      <c r="AJ100" s="260"/>
      <c r="AK100" s="260"/>
      <c r="AL100" s="260"/>
      <c r="AM100" s="260"/>
      <c r="AN100" s="233"/>
      <c r="AO100" s="261"/>
      <c r="AP100" s="253" t="e">
        <f t="shared" si="16"/>
        <v>#N/A</v>
      </c>
      <c r="AQ100" s="263"/>
      <c r="AR100" s="264" t="e">
        <f t="shared" si="14"/>
        <v>#N/A</v>
      </c>
      <c r="AS100" s="264" t="e">
        <f>AF166</f>
        <v>#N/A</v>
      </c>
      <c r="AT100" s="233" t="e">
        <f>IF($AN$97="SEE SPEC.","SEE SPEC.",IF(AND($AK$88=1,$AN$97&gt;=0),0,$AN$97))</f>
        <v>#N/A</v>
      </c>
      <c r="AU100" s="260" t="e">
        <f t="shared" si="17"/>
        <v>#N/A</v>
      </c>
      <c r="AV100" s="233" t="e">
        <f t="shared" si="15"/>
        <v>#N/A</v>
      </c>
      <c r="AW100" s="260" t="e">
        <f>IF(AT100="SEE SPEC.","SEE SPEC.",IF($AK$86=3,AM99,IF($AK$86=2,AM98,IF($AK$86=1,AM97))))</f>
        <v>#N/A</v>
      </c>
      <c r="AX100" s="231" t="e">
        <f>$AX$98</f>
        <v>#N/A</v>
      </c>
      <c r="AY100" s="91" t="e">
        <f>SUM($AS$93:AS100)</f>
        <v>#DIV/0!</v>
      </c>
      <c r="BB100" s="618">
        <v>92.29999999999953</v>
      </c>
      <c r="BC100" s="619">
        <v>1.02</v>
      </c>
      <c r="BD100" s="619">
        <v>1.02</v>
      </c>
      <c r="BE100" s="618">
        <v>92.29999999999953</v>
      </c>
      <c r="BF100" s="619">
        <v>1.01</v>
      </c>
      <c r="BG100" s="619">
        <v>1.02</v>
      </c>
      <c r="BH100" s="623">
        <f t="shared" si="8"/>
        <v>1.02</v>
      </c>
      <c r="BI100" s="623">
        <f t="shared" si="9"/>
        <v>1.02</v>
      </c>
      <c r="BP100" s="260"/>
    </row>
    <row r="101" spans="2:68" ht="13.5" hidden="1" thickBot="1">
      <c r="B101" s="1">
        <f>B23</f>
        <v>0</v>
      </c>
      <c r="C101" s="1">
        <f>C23</f>
        <v>0.1</v>
      </c>
      <c r="D101" s="536" t="str">
        <f>IF(K23="","",IF(K23="SEE SPEC",0,IF(K23="low voids",0,K23)))</f>
        <v> </v>
      </c>
      <c r="E101" s="65">
        <f>IF(INT($I$48)=B101,$N$48,1)</f>
        <v>1</v>
      </c>
      <c r="F101" s="65">
        <f>IF(INT($I$52)=C101,$N$52,1)</f>
        <v>1</v>
      </c>
      <c r="G101" s="65">
        <f>IF(D101=" ","",D101*E101*F101)</f>
      </c>
      <c r="V101" s="185">
        <v>85.00000000000011</v>
      </c>
      <c r="W101" s="212" t="s">
        <v>160</v>
      </c>
      <c r="X101" s="212" t="s">
        <v>160</v>
      </c>
      <c r="Y101" s="212" t="s">
        <v>160</v>
      </c>
      <c r="Z101" s="212" t="s">
        <v>160</v>
      </c>
      <c r="AA101" s="212" t="s">
        <v>160</v>
      </c>
      <c r="AB101" s="237" t="s">
        <v>160</v>
      </c>
      <c r="AC101" s="92"/>
      <c r="AD101" s="185">
        <v>1</v>
      </c>
      <c r="AE101" s="180">
        <v>1</v>
      </c>
      <c r="AF101" s="180">
        <v>1</v>
      </c>
      <c r="AG101" s="186">
        <v>1</v>
      </c>
      <c r="AH101" s="175"/>
      <c r="AI101" s="227">
        <v>3</v>
      </c>
      <c r="AJ101" s="251" t="e">
        <f>IF(AR101&gt;=2.5,AP101*AS101,IF(AP101&lt;0,AP101*AS101,0))</f>
        <v>#DIV/0!</v>
      </c>
      <c r="AK101" s="251" t="e">
        <f>IF(AR102&gt;=2.5,AP102*AS102,IF(AP102&lt;0,AP102*AS102,0))</f>
        <v>#DIV/0!</v>
      </c>
      <c r="AL101" s="251" t="e">
        <f>IF(AR103&gt;=2.5,AP103*AS103,IF(AP103&lt;0,AP103*AS103,0))</f>
        <v>#DIV/0!</v>
      </c>
      <c r="AM101" s="251" t="e">
        <f>IF(AR104&gt;=2.5,AP104*AS104,IF(AP104&lt;0,AP104*AS104,0))</f>
        <v>#N/A</v>
      </c>
      <c r="AN101" s="228" t="e">
        <f>IF($AK$87=1,VLOOKUP(AQ101,$V$78:$AB$228,2),IF($AK$87=2,VLOOKUP(AQ101,$V$78:$AB$228,3),IF($AK$87=3,VLOOKUP(AQ101,$V$78:$AB$228,4),IF($AK$87=4,VLOOKUP(AQ101,$V$78:$AB$228,5),IF($AK$87=5,VLOOKUP(AQ101,$V$78:$AB$228,6),IF($AK$87=6,VLOOKUP(AQ101,$V$78:$AB231,7,999)))))))</f>
        <v>#N/A</v>
      </c>
      <c r="AO101" s="252">
        <f>IF(OR(E31&gt;(E33+0.03),E31&lt;(E33-0.03)),E33,E31)</f>
        <v>0</v>
      </c>
      <c r="AP101" s="253" t="e">
        <f t="shared" si="16"/>
        <v>#N/A</v>
      </c>
      <c r="AQ101" s="254">
        <f>G31</f>
      </c>
      <c r="AR101" s="255" t="e">
        <f t="shared" si="14"/>
        <v>#DIV/0!</v>
      </c>
      <c r="AS101" s="255" t="e">
        <f>AG163</f>
        <v>#DIV/0!</v>
      </c>
      <c r="AT101" s="228" t="e">
        <f>IF($AN$101="SEE SPEC.","SEE SPEC.",IF(AND($AK$88=1,$AN$101&gt;=0),0,$AN$101))</f>
        <v>#N/A</v>
      </c>
      <c r="AU101" s="251" t="e">
        <f t="shared" si="17"/>
        <v>#N/A</v>
      </c>
      <c r="AV101" s="228" t="e">
        <f t="shared" si="15"/>
        <v>#DIV/0!</v>
      </c>
      <c r="AW101" s="251" t="e">
        <f>IF(AT101="SEE SPEC.","SEE SPEC.",IF($AK$86=3,AJ103,IF($AK$86=2,AJ102,IF($AK$86=1,AJ101))))</f>
        <v>#N/A</v>
      </c>
      <c r="AX101" s="231" t="e">
        <f>E109*F109</f>
        <v>#N/A</v>
      </c>
      <c r="AY101" s="91" t="e">
        <f>SUM($AS$93:AS101)</f>
        <v>#DIV/0!</v>
      </c>
      <c r="BB101" s="618">
        <v>92.39999999999952</v>
      </c>
      <c r="BC101" s="619">
        <v>1.02</v>
      </c>
      <c r="BD101" s="619">
        <v>1.02</v>
      </c>
      <c r="BE101" s="618">
        <v>92.39999999999952</v>
      </c>
      <c r="BF101" s="619">
        <v>1.01</v>
      </c>
      <c r="BG101" s="619">
        <v>1.02</v>
      </c>
      <c r="BH101" s="623">
        <f t="shared" si="8"/>
        <v>1.02</v>
      </c>
      <c r="BI101" s="623">
        <f t="shared" si="9"/>
        <v>1.02</v>
      </c>
      <c r="BP101" s="251"/>
    </row>
    <row r="102" spans="3:68" ht="13.5" hidden="1" thickBot="1">
      <c r="C102" s="1">
        <f>C24</f>
        <v>0.2</v>
      </c>
      <c r="D102" s="536" t="str">
        <f>IF(K24="","",IF(K24="SEE SPEC",0,IF(K24="low voids",0,K24)))</f>
        <v> </v>
      </c>
      <c r="E102" s="65">
        <f>IF(INT($I$48)=B101,$N$48,1)</f>
        <v>1</v>
      </c>
      <c r="F102" s="65">
        <f>IF(INT($I$52)=C101,$N$52,1)</f>
        <v>1</v>
      </c>
      <c r="G102" s="65">
        <f>IF(D102=" ","",D102*E102*F102)</f>
      </c>
      <c r="V102" s="185">
        <v>85.10000000000011</v>
      </c>
      <c r="W102" s="212" t="s">
        <v>160</v>
      </c>
      <c r="X102" s="212" t="s">
        <v>160</v>
      </c>
      <c r="Y102" s="212" t="s">
        <v>160</v>
      </c>
      <c r="Z102" s="212" t="s">
        <v>160</v>
      </c>
      <c r="AA102" s="212" t="s">
        <v>160</v>
      </c>
      <c r="AB102" s="237" t="s">
        <v>160</v>
      </c>
      <c r="AC102" s="92"/>
      <c r="AD102" s="185">
        <v>546</v>
      </c>
      <c r="AE102" s="180">
        <v>2</v>
      </c>
      <c r="AF102" s="180">
        <v>601</v>
      </c>
      <c r="AG102" s="186">
        <v>2</v>
      </c>
      <c r="AH102" s="175"/>
      <c r="AI102" s="230"/>
      <c r="AJ102" s="225" t="e">
        <f>IF(AR101&gt;=3,AP101*AS101,IF(AP101&lt;0,AP101*AS101,0))</f>
        <v>#DIV/0!</v>
      </c>
      <c r="AK102" s="225" t="e">
        <f>IF(AR102&gt;=3,AP102*AS102,IF(AP102&lt;0,AP102*AS102,0))</f>
        <v>#DIV/0!</v>
      </c>
      <c r="AL102" s="225" t="e">
        <f>IF(AR103&gt;=3,AP103*AS103,IF(AP103&lt;0,AP103*AS103,0))</f>
        <v>#DIV/0!</v>
      </c>
      <c r="AM102" s="225" t="e">
        <f>IF(AR104&gt;=3,AP104*AS104,IF(AP104&lt;0,AP104*AS104,0))</f>
        <v>#N/A</v>
      </c>
      <c r="AN102" s="223"/>
      <c r="AO102" s="256">
        <f>IF(OR(E32&gt;(E33+0.03),E32&lt;(E33-0.03)),E33,E32)</f>
        <v>0</v>
      </c>
      <c r="AP102" s="253" t="e">
        <f t="shared" si="16"/>
        <v>#N/A</v>
      </c>
      <c r="AQ102" s="258"/>
      <c r="AR102" s="226" t="e">
        <f t="shared" si="14"/>
        <v>#DIV/0!</v>
      </c>
      <c r="AS102" s="226" t="e">
        <f>AG164</f>
        <v>#DIV/0!</v>
      </c>
      <c r="AT102" s="223" t="e">
        <f>IF($AN$101="SEE SPEC.","SEE SPEC.",IF(AND($AK$88=1,$AN$101&gt;=0),0,$AN$101))</f>
        <v>#N/A</v>
      </c>
      <c r="AU102" s="225" t="e">
        <f t="shared" si="17"/>
        <v>#N/A</v>
      </c>
      <c r="AV102" s="223" t="e">
        <f t="shared" si="15"/>
        <v>#DIV/0!</v>
      </c>
      <c r="AW102" s="225" t="e">
        <f>IF(AT102="SEE SPEC.","SEE SPEC.",IF($AK$86=3,AK103,IF($AK$86=2,AK102,IF($AK$86=1,AK101))))</f>
        <v>#N/A</v>
      </c>
      <c r="AX102" s="231" t="e">
        <f>E110*F110</f>
        <v>#N/A</v>
      </c>
      <c r="AY102" s="91" t="e">
        <f>SUM($AS$93:AS102)</f>
        <v>#DIV/0!</v>
      </c>
      <c r="BB102" s="618">
        <v>92.49999999999952</v>
      </c>
      <c r="BC102" s="619">
        <v>1.02</v>
      </c>
      <c r="BD102" s="619">
        <v>1.02</v>
      </c>
      <c r="BE102" s="618">
        <v>92.49999999999952</v>
      </c>
      <c r="BF102" s="619">
        <v>1.01</v>
      </c>
      <c r="BG102" s="619">
        <v>1.02</v>
      </c>
      <c r="BH102" s="623">
        <f t="shared" si="8"/>
        <v>1.02</v>
      </c>
      <c r="BI102" s="623">
        <f t="shared" si="9"/>
        <v>1.02</v>
      </c>
      <c r="BP102" s="225"/>
    </row>
    <row r="103" spans="4:68" ht="13.5" hidden="1" thickBot="1">
      <c r="D103" s="536"/>
      <c r="E103" s="65"/>
      <c r="F103" s="65"/>
      <c r="G103" s="65"/>
      <c r="V103" s="238">
        <v>85.2000000000001</v>
      </c>
      <c r="W103" s="212" t="s">
        <v>160</v>
      </c>
      <c r="X103" s="212" t="s">
        <v>160</v>
      </c>
      <c r="Y103" s="212" t="s">
        <v>160</v>
      </c>
      <c r="Z103" s="212" t="s">
        <v>160</v>
      </c>
      <c r="AA103" s="212" t="s">
        <v>160</v>
      </c>
      <c r="AB103" s="237" t="s">
        <v>160</v>
      </c>
      <c r="AC103" s="92"/>
      <c r="AD103" s="185">
        <v>911</v>
      </c>
      <c r="AE103" s="180">
        <v>3</v>
      </c>
      <c r="AF103" s="180">
        <v>1001</v>
      </c>
      <c r="AG103" s="187">
        <v>3</v>
      </c>
      <c r="AH103" s="175"/>
      <c r="AI103" s="230"/>
      <c r="AJ103" s="225" t="e">
        <f>IF(AR101&gt;=3.5,AP101*AS101,IF(AP101&lt;0,AP101*AS101,0))</f>
        <v>#DIV/0!</v>
      </c>
      <c r="AK103" s="225" t="e">
        <f>IF(AR102&gt;=3.5,AP102*AS102,IF(AP102&lt;0,AP102*AS102,0))</f>
        <v>#DIV/0!</v>
      </c>
      <c r="AL103" s="225" t="e">
        <f>IF(AR103&gt;=3.5,AP103*AS103,IF(AP103&lt;0,AP103*AS103,0))</f>
        <v>#DIV/0!</v>
      </c>
      <c r="AM103" s="225" t="e">
        <f>IF(AR104&gt;=3.5,AP104*AS104,IF(AP104&lt;0,AP104*AS104,0))</f>
        <v>#N/A</v>
      </c>
      <c r="AN103" s="223"/>
      <c r="AO103" s="256"/>
      <c r="AP103" s="253" t="e">
        <f t="shared" si="16"/>
        <v>#N/A</v>
      </c>
      <c r="AQ103" s="258"/>
      <c r="AR103" s="226" t="e">
        <f t="shared" si="14"/>
        <v>#DIV/0!</v>
      </c>
      <c r="AS103" s="226" t="e">
        <f>AG165</f>
        <v>#DIV/0!</v>
      </c>
      <c r="AT103" s="223" t="e">
        <f>IF($AN$101="SEE SPEC.","SEE SPEC.",IF(AND($AK$88=1,$AN$101&gt;=0),0,$AN$101))</f>
        <v>#N/A</v>
      </c>
      <c r="AU103" s="225" t="e">
        <f t="shared" si="17"/>
        <v>#N/A</v>
      </c>
      <c r="AV103" s="223" t="e">
        <f t="shared" si="15"/>
        <v>#DIV/0!</v>
      </c>
      <c r="AW103" s="225" t="e">
        <f>IF(AT103="SEE SPEC.","SEE SPEC.",IF($AK$86=3,AL103,IF($AK$86=2,AL102,IF($AK$86=1,AL101))))</f>
        <v>#N/A</v>
      </c>
      <c r="AX103" s="231" t="e">
        <f>$AX$102</f>
        <v>#N/A</v>
      </c>
      <c r="AY103" s="91" t="e">
        <f>SUM($AS$93:AS103)</f>
        <v>#DIV/0!</v>
      </c>
      <c r="BB103" s="618">
        <v>92.59999999999951</v>
      </c>
      <c r="BC103" s="619">
        <v>1.02</v>
      </c>
      <c r="BD103" s="619">
        <v>1.02</v>
      </c>
      <c r="BE103" s="618">
        <v>92.59999999999951</v>
      </c>
      <c r="BF103" s="619">
        <v>1.02</v>
      </c>
      <c r="BG103" s="619">
        <v>1.02</v>
      </c>
      <c r="BH103" s="623">
        <f t="shared" si="8"/>
        <v>1.02</v>
      </c>
      <c r="BI103" s="623">
        <f t="shared" si="9"/>
        <v>1.02</v>
      </c>
      <c r="BP103" s="225"/>
    </row>
    <row r="104" spans="4:68" ht="13.5" hidden="1" thickBot="1">
      <c r="D104" s="536"/>
      <c r="E104" s="65"/>
      <c r="F104" s="65"/>
      <c r="G104" s="65"/>
      <c r="V104" s="238">
        <v>85.3000000000001</v>
      </c>
      <c r="W104" s="212" t="s">
        <v>160</v>
      </c>
      <c r="X104" s="212" t="s">
        <v>160</v>
      </c>
      <c r="Y104" s="212" t="s">
        <v>160</v>
      </c>
      <c r="Z104" s="212" t="s">
        <v>160</v>
      </c>
      <c r="AA104" s="212" t="s">
        <v>160</v>
      </c>
      <c r="AB104" s="237" t="s">
        <v>160</v>
      </c>
      <c r="AC104" s="92"/>
      <c r="AD104" s="185">
        <v>1456</v>
      </c>
      <c r="AE104" s="180">
        <v>4</v>
      </c>
      <c r="AF104" s="180">
        <v>1601</v>
      </c>
      <c r="AG104" s="187">
        <v>4</v>
      </c>
      <c r="AH104" s="175"/>
      <c r="AI104" s="259"/>
      <c r="AJ104" s="260"/>
      <c r="AK104" s="260"/>
      <c r="AL104" s="260"/>
      <c r="AM104" s="260"/>
      <c r="AN104" s="233"/>
      <c r="AO104" s="261"/>
      <c r="AP104" s="253" t="e">
        <f t="shared" si="16"/>
        <v>#N/A</v>
      </c>
      <c r="AQ104" s="263"/>
      <c r="AR104" s="264" t="e">
        <f t="shared" si="14"/>
        <v>#N/A</v>
      </c>
      <c r="AS104" s="264" t="e">
        <f>AG166</f>
        <v>#N/A</v>
      </c>
      <c r="AT104" s="233" t="e">
        <f>IF($AN$101="SEE SPEC.","SEE SPEC.",IF(AND($AK$88=1,$AN$101&gt;=0),0,$AN$101))</f>
        <v>#N/A</v>
      </c>
      <c r="AU104" s="260" t="e">
        <f t="shared" si="17"/>
        <v>#N/A</v>
      </c>
      <c r="AV104" s="233" t="e">
        <f t="shared" si="15"/>
        <v>#N/A</v>
      </c>
      <c r="AW104" s="260" t="e">
        <f>IF(AT104="SEE SPEC.","SEE SPEC.",IF($AK$86=3,AM103,IF($AK$86=2,AM102,IF($AK$86=1,AM101))))</f>
        <v>#N/A</v>
      </c>
      <c r="AX104" s="231" t="e">
        <f>$AX$102</f>
        <v>#N/A</v>
      </c>
      <c r="AY104" s="91" t="e">
        <f>SUM($AS$93:AS104)</f>
        <v>#DIV/0!</v>
      </c>
      <c r="BB104" s="618">
        <v>92.6999999999995</v>
      </c>
      <c r="BC104" s="619">
        <v>1.02</v>
      </c>
      <c r="BD104" s="619">
        <v>1.02</v>
      </c>
      <c r="BE104" s="618">
        <v>92.6999999999995</v>
      </c>
      <c r="BF104" s="619">
        <v>1.02</v>
      </c>
      <c r="BG104" s="619">
        <v>1.02</v>
      </c>
      <c r="BH104" s="623">
        <f t="shared" si="8"/>
        <v>1.02</v>
      </c>
      <c r="BI104" s="623">
        <f t="shared" si="9"/>
        <v>1.02</v>
      </c>
      <c r="BP104" s="260"/>
    </row>
    <row r="105" spans="2:68" ht="13.5" hidden="1" thickBot="1">
      <c r="B105" s="1" t="e">
        <f>B27</f>
        <v>#N/A</v>
      </c>
      <c r="C105" s="690" t="e">
        <f>C27</f>
        <v>#N/A</v>
      </c>
      <c r="D105" s="536" t="str">
        <f>IF(K27="","",IF(K27="SEE SPEC",0,IF(K27="low voids",0,K27)))</f>
        <v> </v>
      </c>
      <c r="E105" s="65" t="e">
        <f>IF(INT($I$48)=B105,$N$48,1)</f>
        <v>#N/A</v>
      </c>
      <c r="F105" s="65" t="e">
        <f>IF(INT($I$52)=C105,$N$52,1)</f>
        <v>#N/A</v>
      </c>
      <c r="G105" s="65">
        <f>IF(D105=" ","",D105*E105*F105)</f>
      </c>
      <c r="V105" s="238">
        <v>85.40000000000009</v>
      </c>
      <c r="W105" s="212" t="s">
        <v>160</v>
      </c>
      <c r="X105" s="212" t="s">
        <v>160</v>
      </c>
      <c r="Y105" s="212" t="s">
        <v>160</v>
      </c>
      <c r="Z105" s="212" t="s">
        <v>160</v>
      </c>
      <c r="AA105" s="212" t="s">
        <v>160</v>
      </c>
      <c r="AB105" s="237" t="s">
        <v>160</v>
      </c>
      <c r="AC105" s="92"/>
      <c r="AD105" s="185">
        <v>3276</v>
      </c>
      <c r="AE105" s="180">
        <v>5</v>
      </c>
      <c r="AF105" s="180">
        <v>3601</v>
      </c>
      <c r="AG105" s="187">
        <v>5</v>
      </c>
      <c r="AH105" s="175"/>
      <c r="AI105" s="227">
        <v>4</v>
      </c>
      <c r="AJ105" s="251" t="e">
        <f>IF(AR105&gt;=2.5,AP105*AS105,IF(AP105&lt;0,AP105*AS105,0))</f>
        <v>#DIV/0!</v>
      </c>
      <c r="AK105" s="251" t="e">
        <f>IF(AR106&gt;=2.5,AP106*AS106,IF(AP106&lt;0,AP106*AS106,0))</f>
        <v>#DIV/0!</v>
      </c>
      <c r="AL105" s="251" t="e">
        <f>IF(AR107&gt;=2.5,AP107*AS107,IF(AP107&lt;0,AP107*AS107,0))</f>
        <v>#DIV/0!</v>
      </c>
      <c r="AM105" s="251" t="e">
        <f>IF(AR108&gt;=2.5,AP108*AS108,IF(AP108&lt;0,AP108*AS108,0))</f>
        <v>#N/A</v>
      </c>
      <c r="AN105" s="228" t="e">
        <f>IF($AK$87=1,VLOOKUP(AQ105,$V$78:$AB$228,2),IF($AK$87=2,VLOOKUP(AQ105,$V$78:$AB$228,3),IF($AK$87=3,VLOOKUP(AQ105,$V$78:$AB$228,4),IF($AK$87=4,VLOOKUP(AQ105,$V$78:$AB$228,5),IF($AK$87=5,VLOOKUP(AQ105,$V$78:$AB$228,6),IF($AK$87=6,VLOOKUP(AQ105,$V$78:$AB231,7,999)))))))</f>
        <v>#N/A</v>
      </c>
      <c r="AO105" s="252">
        <f>IF(OR(E35&gt;(E37+0.03),E35&lt;(E37-0.03)),E37,E35)</f>
        <v>0</v>
      </c>
      <c r="AP105" s="253" t="e">
        <f t="shared" si="16"/>
        <v>#N/A</v>
      </c>
      <c r="AQ105" s="254">
        <f>G35</f>
      </c>
      <c r="AR105" s="255" t="e">
        <f t="shared" si="14"/>
        <v>#DIV/0!</v>
      </c>
      <c r="AS105" s="255" t="e">
        <f>AH163</f>
        <v>#DIV/0!</v>
      </c>
      <c r="AT105" s="228" t="e">
        <f>IF($AN$105="SEE SPEC.","SEE SPEC.",IF(AND($AK$88=1,$AN$105&gt;=0),0,$AN$105))</f>
        <v>#N/A</v>
      </c>
      <c r="AU105" s="251" t="e">
        <f t="shared" si="17"/>
        <v>#N/A</v>
      </c>
      <c r="AV105" s="228" t="e">
        <f t="shared" si="15"/>
        <v>#DIV/0!</v>
      </c>
      <c r="AW105" s="251" t="e">
        <f>IF(AT105="SEE SPEC.","SEE SPEC.",IF($AK$86=3,AJ107,IF($AK$86=2,AJ106,IF($AK$86=1,AJ105))))</f>
        <v>#N/A</v>
      </c>
      <c r="AX105" s="231" t="e">
        <f>E113*F113</f>
        <v>#N/A</v>
      </c>
      <c r="AY105" s="91" t="e">
        <f>SUM($AS$93:AS105)</f>
        <v>#DIV/0!</v>
      </c>
      <c r="BB105" s="618">
        <v>92.7999999999995</v>
      </c>
      <c r="BC105" s="619">
        <v>1.02</v>
      </c>
      <c r="BD105" s="619">
        <v>1.02</v>
      </c>
      <c r="BE105" s="618">
        <v>92.7999999999995</v>
      </c>
      <c r="BF105" s="619">
        <v>1.02</v>
      </c>
      <c r="BG105" s="619">
        <v>1.02</v>
      </c>
      <c r="BH105" s="623">
        <f t="shared" si="8"/>
        <v>1.02</v>
      </c>
      <c r="BI105" s="623">
        <f t="shared" si="9"/>
        <v>1.02</v>
      </c>
      <c r="BP105" s="251"/>
    </row>
    <row r="106" spans="3:68" ht="13.5" hidden="1" thickBot="1">
      <c r="C106" s="1" t="e">
        <f>C28</f>
        <v>#N/A</v>
      </c>
      <c r="D106" s="536" t="str">
        <f>IF(K28="","",IF(K28="SEE SPEC",0,IF(K28="low voids",0,K28)))</f>
        <v> </v>
      </c>
      <c r="E106" s="65" t="e">
        <f>IF(INT($I$48)=B105,$N$48,1)</f>
        <v>#N/A</v>
      </c>
      <c r="F106" s="65" t="e">
        <f>IF(INT($I$52)=C105,$N$52,1)</f>
        <v>#N/A</v>
      </c>
      <c r="G106" s="65">
        <f>IF(D106=" ","",D106*E106*F106)</f>
      </c>
      <c r="V106" s="238">
        <v>85.50000000000009</v>
      </c>
      <c r="W106" s="212" t="s">
        <v>160</v>
      </c>
      <c r="X106" s="212" t="s">
        <v>160</v>
      </c>
      <c r="Y106" s="212" t="s">
        <v>160</v>
      </c>
      <c r="Z106" s="212" t="s">
        <v>160</v>
      </c>
      <c r="AA106" s="212" t="s">
        <v>160</v>
      </c>
      <c r="AB106" s="237" t="s">
        <v>160</v>
      </c>
      <c r="AC106" s="92"/>
      <c r="AD106" s="185">
        <v>4546</v>
      </c>
      <c r="AE106" s="180">
        <v>6</v>
      </c>
      <c r="AF106" s="180">
        <v>5001</v>
      </c>
      <c r="AG106" s="187">
        <v>6</v>
      </c>
      <c r="AH106" s="175"/>
      <c r="AI106" s="230"/>
      <c r="AJ106" s="225" t="e">
        <f>IF(AR105&gt;=3,AP105*AS105,IF(AP105&lt;0,AP105*AS105,0))</f>
        <v>#DIV/0!</v>
      </c>
      <c r="AK106" s="225" t="e">
        <f>IF(AR106&gt;=3,AP106*AS106,IF(AP106&lt;0,AP106*AS106,0))</f>
        <v>#DIV/0!</v>
      </c>
      <c r="AL106" s="225" t="e">
        <f>IF(AR107&gt;=3,AP107*AS107,IF(AP107&lt;0,AP107*AS107,0))</f>
        <v>#DIV/0!</v>
      </c>
      <c r="AM106" s="225" t="e">
        <f>IF(AR108&gt;=3,AP108*AS108,IF(AP108&lt;0,AP108*AS108,0))</f>
        <v>#N/A</v>
      </c>
      <c r="AN106" s="223"/>
      <c r="AO106" s="256">
        <f>IF(OR(E36&gt;(E37+0.03),E36&lt;(E37-0.03)),E37,E36)</f>
        <v>0</v>
      </c>
      <c r="AP106" s="253" t="e">
        <f t="shared" si="16"/>
        <v>#N/A</v>
      </c>
      <c r="AQ106" s="258"/>
      <c r="AR106" s="226" t="e">
        <f t="shared" si="14"/>
        <v>#DIV/0!</v>
      </c>
      <c r="AS106" s="226" t="e">
        <f>AH164</f>
        <v>#DIV/0!</v>
      </c>
      <c r="AT106" s="223" t="e">
        <f>IF($AN$105="SEE SPEC.","SEE SPEC.",IF(AND($AK$88=1,$AN$105&gt;=0),0,$AN$105))</f>
        <v>#N/A</v>
      </c>
      <c r="AU106" s="225" t="e">
        <f t="shared" si="17"/>
        <v>#N/A</v>
      </c>
      <c r="AV106" s="223" t="e">
        <f t="shared" si="15"/>
        <v>#DIV/0!</v>
      </c>
      <c r="AW106" s="225" t="e">
        <f>IF(AT106="SEE SPEC.","SEE SPEC.",IF($AK$86=3,AK107,IF($AK$86=2,AK106,IF($AK$86=1,AK105))))</f>
        <v>#N/A</v>
      </c>
      <c r="AX106" s="231" t="e">
        <f>E114*F114</f>
        <v>#N/A</v>
      </c>
      <c r="AY106" s="91" t="e">
        <f>SUM($AS$93:AS106)</f>
        <v>#DIV/0!</v>
      </c>
      <c r="BB106" s="618">
        <v>92.8999999999995</v>
      </c>
      <c r="BC106" s="619">
        <v>1.02</v>
      </c>
      <c r="BD106" s="619">
        <v>1.02</v>
      </c>
      <c r="BE106" s="618">
        <v>92.8999999999995</v>
      </c>
      <c r="BF106" s="619">
        <v>1.02</v>
      </c>
      <c r="BG106" s="619">
        <v>1.02</v>
      </c>
      <c r="BH106" s="623">
        <f t="shared" si="8"/>
        <v>1.02</v>
      </c>
      <c r="BI106" s="623">
        <f t="shared" si="9"/>
        <v>1.02</v>
      </c>
      <c r="BP106" s="225"/>
    </row>
    <row r="107" spans="4:68" ht="13.5" hidden="1" thickBot="1">
      <c r="D107" s="536"/>
      <c r="E107" s="65"/>
      <c r="F107" s="65"/>
      <c r="G107" s="65"/>
      <c r="V107" s="185">
        <v>85.60000000000008</v>
      </c>
      <c r="W107" s="212" t="s">
        <v>160</v>
      </c>
      <c r="X107" s="212" t="s">
        <v>160</v>
      </c>
      <c r="Y107" s="212" t="s">
        <v>160</v>
      </c>
      <c r="Z107" s="212" t="s">
        <v>160</v>
      </c>
      <c r="AA107" s="212" t="s">
        <v>160</v>
      </c>
      <c r="AB107" s="237" t="s">
        <v>160</v>
      </c>
      <c r="AC107" s="92"/>
      <c r="AD107" s="188">
        <v>9999</v>
      </c>
      <c r="AE107" s="189">
        <v>6</v>
      </c>
      <c r="AF107" s="189">
        <v>9999</v>
      </c>
      <c r="AG107" s="190">
        <v>6</v>
      </c>
      <c r="AH107" s="175"/>
      <c r="AI107" s="266"/>
      <c r="AJ107" s="225" t="e">
        <f>IF(AR105&gt;=3.5,AP105*AS105,IF(AP105&lt;0,AP105*AS105,0))</f>
        <v>#DIV/0!</v>
      </c>
      <c r="AK107" s="225" t="e">
        <f>IF(AR106&gt;=3.5,AP106*AS106,IF(AP106&lt;0,AP106*AS106,0))</f>
        <v>#DIV/0!</v>
      </c>
      <c r="AL107" s="225" t="e">
        <f>IF(AR107&gt;=3.5,AP107*AS107,IF(AP107&lt;0,AP107*AS107,0))</f>
        <v>#DIV/0!</v>
      </c>
      <c r="AM107" s="225" t="e">
        <f>IF(AR108&gt;=3.5,AP108*AS108,IF(AP108&lt;0,AP108*AS108,0))</f>
        <v>#N/A</v>
      </c>
      <c r="AN107" s="223"/>
      <c r="AO107" s="256"/>
      <c r="AP107" s="253" t="e">
        <f t="shared" si="16"/>
        <v>#N/A</v>
      </c>
      <c r="AQ107" s="258"/>
      <c r="AR107" s="226" t="e">
        <f t="shared" si="14"/>
        <v>#DIV/0!</v>
      </c>
      <c r="AS107" s="226" t="e">
        <f>AH165</f>
        <v>#DIV/0!</v>
      </c>
      <c r="AT107" s="223" t="e">
        <f>IF($AN$105="SEE SPEC.","SEE SPEC.",IF(AND($AK$88=1,$AN$105&gt;=0),0,$AN$105))</f>
        <v>#N/A</v>
      </c>
      <c r="AU107" s="225" t="e">
        <f t="shared" si="17"/>
        <v>#N/A</v>
      </c>
      <c r="AV107" s="223" t="e">
        <f t="shared" si="15"/>
        <v>#DIV/0!</v>
      </c>
      <c r="AW107" s="225" t="e">
        <f>IF(AT107="SEE SPEC.","SEE SPEC.",IF($AK$86=3,AL107,IF($AK$86=2,AL106,IF($AK$86=1,AL105))))</f>
        <v>#N/A</v>
      </c>
      <c r="AX107" s="231" t="e">
        <f>$AX$106</f>
        <v>#N/A</v>
      </c>
      <c r="AY107" s="91" t="e">
        <f>SUM($AS$93:AS107)</f>
        <v>#DIV/0!</v>
      </c>
      <c r="BB107" s="618">
        <v>92.99999999999949</v>
      </c>
      <c r="BC107" s="619">
        <v>1.02</v>
      </c>
      <c r="BD107" s="619">
        <v>1.02</v>
      </c>
      <c r="BE107" s="618">
        <v>92.99999999999949</v>
      </c>
      <c r="BF107" s="619">
        <v>1.02</v>
      </c>
      <c r="BG107" s="619">
        <v>1.02</v>
      </c>
      <c r="BH107" s="623">
        <f t="shared" si="8"/>
        <v>1.02</v>
      </c>
      <c r="BI107" s="623">
        <f t="shared" si="9"/>
        <v>1.02</v>
      </c>
      <c r="BP107" s="225"/>
    </row>
    <row r="108" spans="4:68" ht="13.5" hidden="1" thickBot="1">
      <c r="D108" s="536"/>
      <c r="E108" s="65"/>
      <c r="F108" s="65"/>
      <c r="G108" s="65"/>
      <c r="V108" s="185">
        <v>85.70000000000007</v>
      </c>
      <c r="W108" s="212" t="s">
        <v>160</v>
      </c>
      <c r="X108" s="212" t="s">
        <v>160</v>
      </c>
      <c r="Y108" s="212" t="s">
        <v>160</v>
      </c>
      <c r="Z108" s="212" t="s">
        <v>160</v>
      </c>
      <c r="AA108" s="212" t="s">
        <v>160</v>
      </c>
      <c r="AB108" s="237" t="s">
        <v>160</v>
      </c>
      <c r="AC108" s="92"/>
      <c r="AD108" s="92"/>
      <c r="AE108" s="92"/>
      <c r="AF108" s="175"/>
      <c r="AG108" s="175"/>
      <c r="AH108" s="175"/>
      <c r="AI108" s="259"/>
      <c r="AJ108" s="260"/>
      <c r="AK108" s="260"/>
      <c r="AL108" s="260"/>
      <c r="AM108" s="260"/>
      <c r="AN108" s="233"/>
      <c r="AO108" s="261"/>
      <c r="AP108" s="253" t="e">
        <f t="shared" si="16"/>
        <v>#N/A</v>
      </c>
      <c r="AQ108" s="263"/>
      <c r="AR108" s="264" t="e">
        <f t="shared" si="14"/>
        <v>#N/A</v>
      </c>
      <c r="AS108" s="264" t="e">
        <f>AH166</f>
        <v>#N/A</v>
      </c>
      <c r="AT108" s="233" t="e">
        <f>IF($AN$105="SEE SPEC.","SEE SPEC.",IF(AND($AK$88=1,$AN$105&gt;=0),0,$AN$105))</f>
        <v>#N/A</v>
      </c>
      <c r="AU108" s="260" t="e">
        <f t="shared" si="17"/>
        <v>#N/A</v>
      </c>
      <c r="AV108" s="233" t="e">
        <f t="shared" si="15"/>
        <v>#N/A</v>
      </c>
      <c r="AW108" s="260" t="e">
        <f>IF(AT108="SEE SPEC.","SEE SPEC.",IF($AK$86=3,AM107,IF($AK$86=2,AM106,IF($AK$86=1,AM105))))</f>
        <v>#N/A</v>
      </c>
      <c r="AX108" s="231" t="e">
        <f>$AX$106</f>
        <v>#N/A</v>
      </c>
      <c r="AY108" s="91" t="e">
        <f>SUM($AS$93:AS108)</f>
        <v>#DIV/0!</v>
      </c>
      <c r="BB108" s="618">
        <v>93.09999999999948</v>
      </c>
      <c r="BC108" s="619">
        <v>1.02</v>
      </c>
      <c r="BD108" s="619">
        <v>1.02</v>
      </c>
      <c r="BE108" s="618">
        <v>93.09999999999948</v>
      </c>
      <c r="BF108" s="619">
        <v>1.02</v>
      </c>
      <c r="BG108" s="619">
        <v>1.02</v>
      </c>
      <c r="BH108" s="623">
        <f t="shared" si="8"/>
        <v>1.02</v>
      </c>
      <c r="BI108" s="623">
        <f t="shared" si="9"/>
        <v>1.02</v>
      </c>
      <c r="BP108" s="260"/>
    </row>
    <row r="109" spans="2:68" ht="13.5" hidden="1" thickBot="1">
      <c r="B109" s="1" t="e">
        <f>B31</f>
        <v>#N/A</v>
      </c>
      <c r="C109" s="690" t="e">
        <f>C31</f>
        <v>#N/A</v>
      </c>
      <c r="D109" s="536" t="str">
        <f>IF(K31="","",IF(K31="SEE SPEC",0,IF(K31="low voids",0,K31)))</f>
        <v> </v>
      </c>
      <c r="E109" s="65" t="e">
        <f>IF(INT($I$48)=B109,$N$48,1)</f>
        <v>#N/A</v>
      </c>
      <c r="F109" s="65" t="e">
        <f>IF(INT($I$52)=C109,$N$52,1)</f>
        <v>#N/A</v>
      </c>
      <c r="G109" s="65">
        <f>IF(D109=" ","",D109*E109*F109)</f>
      </c>
      <c r="V109" s="185">
        <v>85.80000000000007</v>
      </c>
      <c r="W109" s="212" t="s">
        <v>160</v>
      </c>
      <c r="X109" s="212" t="s">
        <v>160</v>
      </c>
      <c r="Y109" s="212" t="s">
        <v>160</v>
      </c>
      <c r="Z109" s="212" t="s">
        <v>160</v>
      </c>
      <c r="AA109" s="212" t="s">
        <v>160</v>
      </c>
      <c r="AB109" s="237" t="s">
        <v>160</v>
      </c>
      <c r="AC109" s="92"/>
      <c r="AD109" s="175"/>
      <c r="AE109" s="175"/>
      <c r="AF109" s="175"/>
      <c r="AG109" s="175"/>
      <c r="AH109" s="175"/>
      <c r="AI109" s="227">
        <v>5</v>
      </c>
      <c r="AJ109" s="251" t="e">
        <f>IF(AR109&gt;=2.5,AP109*AS109,IF(AP109&lt;0,AP109*AS109,0))</f>
        <v>#DIV/0!</v>
      </c>
      <c r="AK109" s="251" t="e">
        <f>IF(AR110&gt;=2.5,AP110*AS110,IF(AP110&lt;0,AP110*AS110,0))</f>
        <v>#DIV/0!</v>
      </c>
      <c r="AL109" s="251" t="e">
        <f>IF(AR111&gt;=2.5,AP111*AS111,IF(AP111&lt;0,AP111*AS111,0))</f>
        <v>#DIV/0!</v>
      </c>
      <c r="AM109" s="251" t="e">
        <f>IF(AR112&gt;=2.5,AP112*AS112,IF(AP112&lt;0,AP112*AS112,0))</f>
        <v>#N/A</v>
      </c>
      <c r="AN109" s="228" t="e">
        <f>IF($AK$87=1,VLOOKUP(AQ109,$V$78:$AB$228,2),IF($AK$87=2,VLOOKUP(AQ109,$V$78:$AB$228,3),IF($AK$87=3,VLOOKUP(AQ109,$V$78:$AB$228,4),IF($AK$87=4,VLOOKUP(AQ109,$V$78:$AB$228,5),IF($AK$87=5,VLOOKUP(AQ109,$V$78:$AB$228,6),IF($AK$87=6,VLOOKUP(AQ109,$V$78:$AB231,7,999)))))))</f>
        <v>#N/A</v>
      </c>
      <c r="AO109" s="252">
        <f>IF(OR(E39&gt;(E41+0.03),E39&lt;(E41-0.03)),E41,E39)</f>
        <v>0</v>
      </c>
      <c r="AP109" s="253" t="e">
        <f t="shared" si="16"/>
        <v>#N/A</v>
      </c>
      <c r="AQ109" s="254">
        <f>G39</f>
      </c>
      <c r="AR109" s="255" t="e">
        <f t="shared" si="14"/>
        <v>#DIV/0!</v>
      </c>
      <c r="AS109" s="255" t="e">
        <f>AI163</f>
        <v>#DIV/0!</v>
      </c>
      <c r="AT109" s="228" t="e">
        <f>IF($AN$109="SEE SPEC.","SEE SPEC.",IF(AND($AK$88=1,$AN$109&gt;=0),0,$AN$109))</f>
        <v>#N/A</v>
      </c>
      <c r="AU109" s="251" t="e">
        <f t="shared" si="17"/>
        <v>#N/A</v>
      </c>
      <c r="AV109" s="228" t="e">
        <f t="shared" si="15"/>
        <v>#DIV/0!</v>
      </c>
      <c r="AW109" s="251" t="e">
        <f>IF(AT109="SEE SPEC.","SEE SPEC.",IF($AK$86=3,AJ111,IF($AK$86=2,AJ110,IF($AK$86=1,AJ109))))</f>
        <v>#N/A</v>
      </c>
      <c r="AX109" s="231" t="e">
        <f>E117*F117</f>
        <v>#N/A</v>
      </c>
      <c r="AY109" s="91" t="e">
        <f>SUM($AS$93:AS109)</f>
        <v>#DIV/0!</v>
      </c>
      <c r="BB109" s="618">
        <v>93.19999999999948</v>
      </c>
      <c r="BC109" s="619">
        <v>1.02</v>
      </c>
      <c r="BD109" s="619">
        <v>1.02</v>
      </c>
      <c r="BE109" s="618">
        <v>93.19999999999948</v>
      </c>
      <c r="BF109" s="619">
        <v>1.02</v>
      </c>
      <c r="BG109" s="619">
        <v>1.02</v>
      </c>
      <c r="BH109" s="623">
        <f t="shared" si="8"/>
        <v>1.02</v>
      </c>
      <c r="BI109" s="623">
        <f t="shared" si="9"/>
        <v>1.02</v>
      </c>
      <c r="BP109" s="251"/>
    </row>
    <row r="110" spans="3:68" ht="13.5" hidden="1" thickBot="1">
      <c r="C110" s="1" t="e">
        <f>C32</f>
        <v>#N/A</v>
      </c>
      <c r="D110" s="536" t="str">
        <f>IF(K32="","",IF(K32="SEE SPEC",0,IF(K32="low voids",0,K32)))</f>
        <v> </v>
      </c>
      <c r="E110" s="65" t="e">
        <f>IF(INT($I$48)=B109,$N$48,1)</f>
        <v>#N/A</v>
      </c>
      <c r="F110" s="65" t="e">
        <f>IF(INT($I$52)=C109,$N$52,1)</f>
        <v>#N/A</v>
      </c>
      <c r="G110" s="65">
        <f>IF(D110=" ","",D110*E110*F110)</f>
      </c>
      <c r="V110" s="185">
        <v>85.90000000000006</v>
      </c>
      <c r="W110" s="212" t="s">
        <v>160</v>
      </c>
      <c r="X110" s="212" t="s">
        <v>160</v>
      </c>
      <c r="Y110" s="212" t="s">
        <v>160</v>
      </c>
      <c r="Z110" s="212" t="s">
        <v>160</v>
      </c>
      <c r="AA110" s="212" t="s">
        <v>160</v>
      </c>
      <c r="AB110" s="237" t="s">
        <v>160</v>
      </c>
      <c r="AC110" s="92"/>
      <c r="AD110" s="175"/>
      <c r="AE110" s="175"/>
      <c r="AF110" s="175"/>
      <c r="AG110" s="175"/>
      <c r="AH110" s="175"/>
      <c r="AI110" s="230"/>
      <c r="AJ110" s="225" t="e">
        <f>IF(AR109&gt;=3,AP109*AS109,IF(AP109&lt;0,AP109*AS109,0))</f>
        <v>#DIV/0!</v>
      </c>
      <c r="AK110" s="225" t="e">
        <f>IF(AR110&gt;=3,AP110*AS110,IF(AP110&lt;0,AP110*AS110,0))</f>
        <v>#DIV/0!</v>
      </c>
      <c r="AL110" s="225" t="e">
        <f>IF(AR111&gt;=3,AP111*AS111,IF(AP111&lt;0,AP111*AS111,0))</f>
        <v>#DIV/0!</v>
      </c>
      <c r="AM110" s="225" t="e">
        <f>IF(AR112&gt;=3,AP112*AS112,IF(AP112&lt;0,AP112*AS112,0))</f>
        <v>#N/A</v>
      </c>
      <c r="AN110" s="223"/>
      <c r="AO110" s="256">
        <f>IF(OR(E40&gt;(E41+0.03),E40&lt;(E41-0.03)),E41,E40)</f>
        <v>0</v>
      </c>
      <c r="AP110" s="253" t="e">
        <f t="shared" si="16"/>
        <v>#N/A</v>
      </c>
      <c r="AQ110" s="258"/>
      <c r="AR110" s="226" t="e">
        <f t="shared" si="14"/>
        <v>#DIV/0!</v>
      </c>
      <c r="AS110" s="226" t="e">
        <f>AI164</f>
        <v>#DIV/0!</v>
      </c>
      <c r="AT110" s="223" t="e">
        <f>IF($AN$109="SEE SPEC.","SEE SPEC.",IF(AND($AK$88=1,$AN$109&gt;=0),0,$AN$109))</f>
        <v>#N/A</v>
      </c>
      <c r="AU110" s="225" t="e">
        <f t="shared" si="17"/>
        <v>#N/A</v>
      </c>
      <c r="AV110" s="223" t="e">
        <f t="shared" si="15"/>
        <v>#DIV/0!</v>
      </c>
      <c r="AW110" s="225" t="e">
        <f>IF(AT110="SEE SPEC.","SEE SPEC.",IF($AK$86=3,AK111,IF($AK$86=2,AK110,IF($AK$86=1,AK109))))</f>
        <v>#N/A</v>
      </c>
      <c r="AX110" s="231" t="e">
        <f>E118*F118</f>
        <v>#N/A</v>
      </c>
      <c r="AY110" s="91" t="e">
        <f>SUM($AS$93:AS110)</f>
        <v>#DIV/0!</v>
      </c>
      <c r="BB110" s="618">
        <v>93.29999999999947</v>
      </c>
      <c r="BC110" s="619">
        <v>1.02</v>
      </c>
      <c r="BD110" s="619">
        <v>1.02</v>
      </c>
      <c r="BE110" s="618">
        <v>93.29999999999947</v>
      </c>
      <c r="BF110" s="619">
        <v>1.02</v>
      </c>
      <c r="BG110" s="619">
        <v>1.02</v>
      </c>
      <c r="BH110" s="623">
        <f t="shared" si="8"/>
        <v>1.02</v>
      </c>
      <c r="BI110" s="623">
        <f t="shared" si="9"/>
        <v>1.02</v>
      </c>
      <c r="BP110" s="225"/>
    </row>
    <row r="111" spans="3:68" ht="13.5" hidden="1" thickBot="1">
      <c r="C111" s="1">
        <f>B36</f>
        <v>0</v>
      </c>
      <c r="D111" s="536"/>
      <c r="E111" s="65"/>
      <c r="F111" s="65"/>
      <c r="G111" s="65"/>
      <c r="V111" s="185">
        <v>86.00000000000006</v>
      </c>
      <c r="W111" s="212" t="s">
        <v>160</v>
      </c>
      <c r="X111" s="212" t="s">
        <v>160</v>
      </c>
      <c r="Y111" s="212" t="s">
        <v>160</v>
      </c>
      <c r="Z111" s="212" t="s">
        <v>160</v>
      </c>
      <c r="AA111" s="212" t="s">
        <v>160</v>
      </c>
      <c r="AB111" s="237" t="s">
        <v>160</v>
      </c>
      <c r="AC111" s="92"/>
      <c r="AD111" s="175"/>
      <c r="AE111" s="175"/>
      <c r="AF111" s="175"/>
      <c r="AG111" s="175"/>
      <c r="AH111" s="175"/>
      <c r="AI111" s="230"/>
      <c r="AJ111" s="225" t="e">
        <f>IF(AR109&gt;=3.5,AP109*AS109,IF(AP109&lt;0,AP109*AS109,0))</f>
        <v>#DIV/0!</v>
      </c>
      <c r="AK111" s="225" t="e">
        <f>IF(AR110&gt;=3.5,AP110*AS110,IF(AP110&lt;0,AP110*AS110,0))</f>
        <v>#DIV/0!</v>
      </c>
      <c r="AL111" s="225" t="e">
        <f>IF(AR111&gt;=3.5,AP111*AS111,IF(AP111&lt;0,AP111*AS111,0))</f>
        <v>#DIV/0!</v>
      </c>
      <c r="AM111" s="225" t="e">
        <f>IF(AR112&gt;=3.5,AP112*AS112,IF(AP112&lt;0,AP112*AS112,0))</f>
        <v>#N/A</v>
      </c>
      <c r="AN111" s="223"/>
      <c r="AO111" s="256"/>
      <c r="AP111" s="253" t="e">
        <f t="shared" si="16"/>
        <v>#N/A</v>
      </c>
      <c r="AQ111" s="258"/>
      <c r="AR111" s="226" t="e">
        <f t="shared" si="14"/>
        <v>#DIV/0!</v>
      </c>
      <c r="AS111" s="226" t="e">
        <f>AI165</f>
        <v>#DIV/0!</v>
      </c>
      <c r="AT111" s="223" t="e">
        <f>IF($AN$109="SEE SPEC.","SEE SPEC.",IF(AND($AK$88=1,$AN$109&gt;=0),0,$AN$109))</f>
        <v>#N/A</v>
      </c>
      <c r="AU111" s="225" t="e">
        <f t="shared" si="17"/>
        <v>#N/A</v>
      </c>
      <c r="AV111" s="223" t="e">
        <f t="shared" si="15"/>
        <v>#DIV/0!</v>
      </c>
      <c r="AW111" s="225" t="e">
        <f>IF(AT111="SEE SPEC.","SEE SPEC.",IF($AK$86=3,AL111,IF($AK$86=2,AL110,IF($AK$86=1,AL109))))</f>
        <v>#N/A</v>
      </c>
      <c r="AX111" s="231" t="e">
        <f>$AX$110</f>
        <v>#N/A</v>
      </c>
      <c r="AY111" s="91" t="e">
        <f>SUM($AS$93:AS111)</f>
        <v>#DIV/0!</v>
      </c>
      <c r="BB111" s="618">
        <v>93.39999999999947</v>
      </c>
      <c r="BC111" s="619">
        <v>1.02</v>
      </c>
      <c r="BD111" s="619">
        <v>1.02</v>
      </c>
      <c r="BE111" s="618">
        <v>93.39999999999947</v>
      </c>
      <c r="BF111" s="619">
        <v>1.02</v>
      </c>
      <c r="BG111" s="619">
        <v>1.02</v>
      </c>
      <c r="BH111" s="623">
        <f t="shared" si="8"/>
        <v>1.02</v>
      </c>
      <c r="BI111" s="623">
        <f t="shared" si="9"/>
        <v>1.02</v>
      </c>
      <c r="BP111" s="225"/>
    </row>
    <row r="112" spans="3:68" ht="13.5" hidden="1" thickBot="1">
      <c r="C112" s="1" t="e">
        <f>B37</f>
        <v>#N/A</v>
      </c>
      <c r="D112" s="536"/>
      <c r="E112" s="65"/>
      <c r="F112" s="65"/>
      <c r="G112" s="65"/>
      <c r="V112" s="185">
        <v>86.10000000000005</v>
      </c>
      <c r="W112" s="212" t="s">
        <v>160</v>
      </c>
      <c r="X112" s="212" t="s">
        <v>160</v>
      </c>
      <c r="Y112" s="212" t="s">
        <v>160</v>
      </c>
      <c r="Z112" s="212" t="s">
        <v>160</v>
      </c>
      <c r="AA112" s="212" t="s">
        <v>160</v>
      </c>
      <c r="AB112" s="237" t="s">
        <v>160</v>
      </c>
      <c r="AC112" s="92"/>
      <c r="AD112" s="175"/>
      <c r="AE112" s="175"/>
      <c r="AF112" s="175"/>
      <c r="AG112" s="175"/>
      <c r="AH112" s="175"/>
      <c r="AI112" s="259"/>
      <c r="AJ112" s="260"/>
      <c r="AK112" s="260"/>
      <c r="AL112" s="260"/>
      <c r="AM112" s="260"/>
      <c r="AN112" s="233"/>
      <c r="AO112" s="261"/>
      <c r="AP112" s="253" t="e">
        <f t="shared" si="16"/>
        <v>#N/A</v>
      </c>
      <c r="AQ112" s="263"/>
      <c r="AR112" s="264" t="e">
        <f t="shared" si="14"/>
        <v>#N/A</v>
      </c>
      <c r="AS112" s="264" t="e">
        <f>AI166</f>
        <v>#N/A</v>
      </c>
      <c r="AT112" s="233" t="e">
        <f>IF($AN$109="SEE SPEC.","SEE SPEC.",IF(AND($AK$88=1,$AN$109&gt;=0),0,$AN$109))</f>
        <v>#N/A</v>
      </c>
      <c r="AU112" s="260" t="e">
        <f t="shared" si="17"/>
        <v>#N/A</v>
      </c>
      <c r="AV112" s="233" t="e">
        <f t="shared" si="15"/>
        <v>#N/A</v>
      </c>
      <c r="AW112" s="260" t="e">
        <f>IF(AT112="SEE SPEC.","SEE SPEC.",IF($AK$86=3,AM111,IF($AK$86=2,AM110,IF($AK$86=1,AM109))))</f>
        <v>#N/A</v>
      </c>
      <c r="AX112" s="231" t="e">
        <f>$AX$110</f>
        <v>#N/A</v>
      </c>
      <c r="AY112" s="91" t="e">
        <f>SUM($AS$93:AS112)</f>
        <v>#DIV/0!</v>
      </c>
      <c r="BB112" s="618">
        <v>93.49999999999946</v>
      </c>
      <c r="BC112" s="619">
        <v>1.02</v>
      </c>
      <c r="BD112" s="619">
        <v>1.02</v>
      </c>
      <c r="BE112" s="618">
        <v>93.49999999999946</v>
      </c>
      <c r="BF112" s="619">
        <v>1.02</v>
      </c>
      <c r="BG112" s="619">
        <v>1.02</v>
      </c>
      <c r="BH112" s="623">
        <f t="shared" si="8"/>
        <v>1.02</v>
      </c>
      <c r="BI112" s="623">
        <f t="shared" si="9"/>
        <v>1.02</v>
      </c>
      <c r="BP112" s="260"/>
    </row>
    <row r="113" spans="2:68" ht="13.5" hidden="1" thickBot="1">
      <c r="B113" s="1" t="e">
        <f>B35</f>
        <v>#N/A</v>
      </c>
      <c r="C113" s="690" t="e">
        <f>C35</f>
        <v>#N/A</v>
      </c>
      <c r="D113" s="536" t="str">
        <f>IF(K35="","",IF(K35="SEE SPEC",0,IF(K35="low voids",0,K35)))</f>
        <v> </v>
      </c>
      <c r="E113" s="65" t="e">
        <f>IF(INT($I$48)=B113,$N$48,1)</f>
        <v>#N/A</v>
      </c>
      <c r="F113" s="65" t="e">
        <f>IF(INT($I$52)=C113,$N$52,1)</f>
        <v>#N/A</v>
      </c>
      <c r="G113" s="65">
        <f>IF(D113=" ","",D113*E113*F113)</f>
      </c>
      <c r="V113" s="238">
        <v>86.2</v>
      </c>
      <c r="W113" s="212" t="s">
        <v>160</v>
      </c>
      <c r="X113" s="212" t="s">
        <v>160</v>
      </c>
      <c r="Y113" s="212" t="s">
        <v>160</v>
      </c>
      <c r="Z113" s="212" t="s">
        <v>160</v>
      </c>
      <c r="AA113" s="212" t="s">
        <v>160</v>
      </c>
      <c r="AB113" s="237" t="s">
        <v>160</v>
      </c>
      <c r="AC113" s="92"/>
      <c r="AD113" s="175"/>
      <c r="AE113" s="175"/>
      <c r="AF113" s="175"/>
      <c r="AG113" s="175"/>
      <c r="AH113" s="175"/>
      <c r="AI113" s="230">
        <v>6</v>
      </c>
      <c r="AJ113" s="225" t="e">
        <f>IF(AR113&gt;=2.5,AP113*AS113,IF(AP113&lt;0,AP113*AS113,0))</f>
        <v>#DIV/0!</v>
      </c>
      <c r="AK113" s="225" t="e">
        <f>IF(AR114&gt;=2.5,AP114*AS114,IF(AP114&lt;0,AP114*AS114,0))</f>
        <v>#DIV/0!</v>
      </c>
      <c r="AL113" s="225" t="e">
        <f>IF(AR115&gt;=2.5,AP115*AS115,IF(AP115&lt;0,AP115*AS115,0))</f>
        <v>#DIV/0!</v>
      </c>
      <c r="AM113" s="225" t="e">
        <f>IF(AR116&gt;=2.5,AP116*AS116,IF(AP116&lt;0,AP116*AS116,0))</f>
        <v>#N/A</v>
      </c>
      <c r="AN113" s="223" t="e">
        <f>IF($AK$87=1,VLOOKUP(AQ113,$V$78:$AB$228,2),IF($AK$87=2,VLOOKUP(AQ113,$V$78:$AB$228,3),IF($AK$87=3,VLOOKUP(AQ113,$V$78:$AB$228,4),IF($AK$87=4,VLOOKUP(AQ113,$V$78:$AB$228,5),IF($AK$87=5,VLOOKUP(AQ113,$V$78:$AB$228,6),IF($AK$87=6,VLOOKUP(AQ113,$V$78:$AB231,7,999)))))))</f>
        <v>#N/A</v>
      </c>
      <c r="AO113" s="256">
        <f>IF(OR(E43&gt;(E45+0.03),E43&lt;(E45-0.03)),E45,E43)</f>
        <v>0</v>
      </c>
      <c r="AP113" s="253" t="e">
        <f t="shared" si="16"/>
        <v>#N/A</v>
      </c>
      <c r="AQ113" s="258">
        <f>G43</f>
      </c>
      <c r="AR113" s="226" t="e">
        <f t="shared" si="14"/>
        <v>#DIV/0!</v>
      </c>
      <c r="AS113" s="226" t="e">
        <f>AJ163</f>
        <v>#DIV/0!</v>
      </c>
      <c r="AT113" s="223" t="e">
        <f>IF($AN$113="SEE SPEC.","SEE SPEC.",IF(AND($AK$88=1,$AN$113&gt;=0),0,$AN$113))</f>
        <v>#N/A</v>
      </c>
      <c r="AU113" s="225" t="e">
        <f t="shared" si="17"/>
        <v>#N/A</v>
      </c>
      <c r="AV113" s="223" t="e">
        <f t="shared" si="15"/>
        <v>#DIV/0!</v>
      </c>
      <c r="AW113" s="225" t="e">
        <f>IF(AT113="SEE SPEC.","SEE SPEC.",IF($AK$86=3,AJ115,IF($AK$86=2,AJ114,IF($AK$86=1,AJ113))))</f>
        <v>#N/A</v>
      </c>
      <c r="AX113" s="231" t="e">
        <f>E121*F121</f>
        <v>#N/A</v>
      </c>
      <c r="AY113" s="91" t="e">
        <f>SUM($AS$93:AS113)</f>
        <v>#DIV/0!</v>
      </c>
      <c r="BB113" s="618">
        <v>93.59999999999945</v>
      </c>
      <c r="BC113" s="619">
        <v>1.02</v>
      </c>
      <c r="BD113" s="619">
        <v>1.02</v>
      </c>
      <c r="BE113" s="618">
        <v>93.59999999999945</v>
      </c>
      <c r="BF113" s="619">
        <v>1.02</v>
      </c>
      <c r="BG113" s="619">
        <v>1.02</v>
      </c>
      <c r="BH113" s="623">
        <f t="shared" si="8"/>
        <v>1.02</v>
      </c>
      <c r="BI113" s="623">
        <f t="shared" si="9"/>
        <v>1.02</v>
      </c>
      <c r="BP113" s="225"/>
    </row>
    <row r="114" spans="3:68" ht="13.5" hidden="1" thickBot="1">
      <c r="C114" s="1" t="e">
        <f>C36</f>
        <v>#N/A</v>
      </c>
      <c r="D114" s="536" t="str">
        <f>IF(K36="","",IF(K36="SEE SPEC",0,IF(K36="low voids",0,K36)))</f>
        <v> </v>
      </c>
      <c r="E114" s="65" t="e">
        <f>IF(INT($I$48)=B113,$N$48,1)</f>
        <v>#N/A</v>
      </c>
      <c r="F114" s="65" t="e">
        <f>IF(INT($I$52)=C113,$N$52,1)</f>
        <v>#N/A</v>
      </c>
      <c r="G114" s="65">
        <f>IF(D114=" ","",D114*E114*F114)</f>
      </c>
      <c r="V114" s="238">
        <v>86.3</v>
      </c>
      <c r="W114" s="212" t="s">
        <v>160</v>
      </c>
      <c r="X114" s="212" t="s">
        <v>160</v>
      </c>
      <c r="Y114" s="212" t="s">
        <v>160</v>
      </c>
      <c r="Z114" s="212" t="s">
        <v>160</v>
      </c>
      <c r="AA114" s="212" t="s">
        <v>160</v>
      </c>
      <c r="AB114" s="237" t="s">
        <v>160</v>
      </c>
      <c r="AC114" s="92"/>
      <c r="AD114" s="175"/>
      <c r="AE114" s="175"/>
      <c r="AF114" s="175"/>
      <c r="AG114" s="175"/>
      <c r="AH114" s="175"/>
      <c r="AI114" s="230"/>
      <c r="AJ114" s="225" t="e">
        <f>IF(AR113&gt;=3,AP113*AS113,IF(AP113&lt;0,AP113*AS113,0))</f>
        <v>#DIV/0!</v>
      </c>
      <c r="AK114" s="225" t="e">
        <f>IF(AR114&gt;=3,AP114*AS114,IF(AP114&lt;0,AP114*AS114,0))</f>
        <v>#DIV/0!</v>
      </c>
      <c r="AL114" s="225" t="e">
        <f>IF(AR115&gt;=3,AP115*AS115,IF(AP115&lt;0,AP115*AS115,0))</f>
        <v>#DIV/0!</v>
      </c>
      <c r="AM114" s="225" t="e">
        <f>IF(AR116&gt;=3,AP116*AS116,IF(AP116&lt;0,AP116*AS116,0))</f>
        <v>#N/A</v>
      </c>
      <c r="AN114" s="223"/>
      <c r="AO114" s="256">
        <f>IF(OR(E44&gt;(E45+0.03),E44&lt;(E45-0.03)),E45,E44)</f>
        <v>0</v>
      </c>
      <c r="AP114" s="253" t="e">
        <f t="shared" si="16"/>
        <v>#N/A</v>
      </c>
      <c r="AQ114" s="258"/>
      <c r="AR114" s="226" t="e">
        <f t="shared" si="14"/>
        <v>#DIV/0!</v>
      </c>
      <c r="AS114" s="226" t="e">
        <f>AJ164</f>
        <v>#DIV/0!</v>
      </c>
      <c r="AT114" s="223" t="e">
        <f>IF($AN$113="SEE SPEC.","SEE SPEC.",IF(AND($AK$88=1,$AN$113&gt;=0),0,$AN$113))</f>
        <v>#N/A</v>
      </c>
      <c r="AU114" s="225" t="e">
        <f t="shared" si="17"/>
        <v>#N/A</v>
      </c>
      <c r="AV114" s="223" t="e">
        <f t="shared" si="15"/>
        <v>#DIV/0!</v>
      </c>
      <c r="AW114" s="225" t="e">
        <f>IF(AT114="SEE SPEC.","SEE SPEC.",IF($AK$86=3,AK115,IF($AK$86=2,AK114,IF($AK$86=1,AK113))))</f>
        <v>#N/A</v>
      </c>
      <c r="AX114" s="231" t="e">
        <f>E122*F122</f>
        <v>#N/A</v>
      </c>
      <c r="AY114" s="91" t="e">
        <f>SUM($AS$93:AS114)</f>
        <v>#DIV/0!</v>
      </c>
      <c r="BB114" s="618">
        <v>93.69999999999945</v>
      </c>
      <c r="BC114" s="619">
        <v>1.02</v>
      </c>
      <c r="BD114" s="619">
        <v>1.02</v>
      </c>
      <c r="BE114" s="618">
        <v>93.69999999999945</v>
      </c>
      <c r="BF114" s="619">
        <v>1.02</v>
      </c>
      <c r="BG114" s="619">
        <v>1.02</v>
      </c>
      <c r="BH114" s="623">
        <f t="shared" si="8"/>
        <v>1.02</v>
      </c>
      <c r="BI114" s="623">
        <f t="shared" si="9"/>
        <v>1.02</v>
      </c>
      <c r="BP114" s="225"/>
    </row>
    <row r="115" spans="4:68" ht="13.5" hidden="1" thickBot="1">
      <c r="D115" s="536"/>
      <c r="E115" s="65"/>
      <c r="F115" s="65"/>
      <c r="G115" s="65"/>
      <c r="V115" s="238">
        <v>86.4</v>
      </c>
      <c r="W115" s="212" t="s">
        <v>160</v>
      </c>
      <c r="X115" s="212" t="s">
        <v>160</v>
      </c>
      <c r="Y115" s="212" t="s">
        <v>160</v>
      </c>
      <c r="Z115" s="212" t="s">
        <v>160</v>
      </c>
      <c r="AA115" s="212" t="s">
        <v>160</v>
      </c>
      <c r="AB115" s="237" t="s">
        <v>160</v>
      </c>
      <c r="AC115" s="92"/>
      <c r="AD115" s="175"/>
      <c r="AE115" s="175"/>
      <c r="AF115" s="175"/>
      <c r="AG115" s="175"/>
      <c r="AH115" s="175"/>
      <c r="AI115" s="230"/>
      <c r="AJ115" s="225" t="e">
        <f>IF(AR113&gt;=3.5,AP113*AS113,IF(AP113&lt;0,AP113*AS113,0))</f>
        <v>#DIV/0!</v>
      </c>
      <c r="AK115" s="225" t="e">
        <f>IF(AR114&gt;=3.5,AP114*AS114,IF(AP114&lt;0,AP114*AS114,0))</f>
        <v>#DIV/0!</v>
      </c>
      <c r="AL115" s="225" t="e">
        <f>IF(AR115&gt;=3.5,AP115*AS115,IF(AP115&lt;0,AP115*AS115,0))</f>
        <v>#DIV/0!</v>
      </c>
      <c r="AM115" s="225" t="e">
        <f>IF(AR116&gt;=3.5,AP116*AS116,IF(AP116&lt;0,AP116*AS116,0))</f>
        <v>#N/A</v>
      </c>
      <c r="AN115" s="223"/>
      <c r="AO115" s="256"/>
      <c r="AP115" s="253" t="e">
        <f t="shared" si="16"/>
        <v>#N/A</v>
      </c>
      <c r="AQ115" s="258"/>
      <c r="AR115" s="226" t="e">
        <f t="shared" si="14"/>
        <v>#DIV/0!</v>
      </c>
      <c r="AS115" s="226" t="e">
        <f>AJ165</f>
        <v>#DIV/0!</v>
      </c>
      <c r="AT115" s="223" t="e">
        <f>IF($AN$113="SEE SPEC.","SEE SPEC.",IF(AND($AK$88=1,$AN$113&gt;=0),0,$AN$113))</f>
        <v>#N/A</v>
      </c>
      <c r="AU115" s="225" t="e">
        <f t="shared" si="17"/>
        <v>#N/A</v>
      </c>
      <c r="AV115" s="223" t="e">
        <f t="shared" si="15"/>
        <v>#DIV/0!</v>
      </c>
      <c r="AW115" s="225" t="e">
        <f>IF(AT115="SEE SPEC.","SEE SPEC.",IF($AK$86=3,AL115,IF($AK$86=2,AL114,IF($AK$86=1,AL113))))</f>
        <v>#N/A</v>
      </c>
      <c r="AX115" s="231" t="e">
        <f>$AX$114</f>
        <v>#N/A</v>
      </c>
      <c r="AY115" s="91" t="e">
        <f>SUM($AS$93:AS115)</f>
        <v>#DIV/0!</v>
      </c>
      <c r="BB115" s="618">
        <v>93.79999999999944</v>
      </c>
      <c r="BC115" s="619">
        <v>1.02</v>
      </c>
      <c r="BD115" s="619">
        <v>1.02</v>
      </c>
      <c r="BE115" s="618">
        <v>93.79999999999944</v>
      </c>
      <c r="BF115" s="619">
        <v>1.02</v>
      </c>
      <c r="BG115" s="619">
        <v>1.02</v>
      </c>
      <c r="BH115" s="623">
        <f t="shared" si="8"/>
        <v>1.02</v>
      </c>
      <c r="BI115" s="623">
        <f t="shared" si="9"/>
        <v>1.02</v>
      </c>
      <c r="BP115" s="225"/>
    </row>
    <row r="116" spans="4:68" ht="13.5" hidden="1" thickBot="1">
      <c r="D116" s="536"/>
      <c r="E116" s="65"/>
      <c r="F116" s="65"/>
      <c r="G116" s="65"/>
      <c r="V116" s="238">
        <v>86.5</v>
      </c>
      <c r="W116" s="212" t="s">
        <v>160</v>
      </c>
      <c r="X116" s="212" t="s">
        <v>160</v>
      </c>
      <c r="Y116" s="212" t="s">
        <v>160</v>
      </c>
      <c r="Z116" s="212" t="s">
        <v>160</v>
      </c>
      <c r="AA116" s="212" t="s">
        <v>160</v>
      </c>
      <c r="AB116" s="237" t="s">
        <v>160</v>
      </c>
      <c r="AC116" s="92"/>
      <c r="AD116" s="175"/>
      <c r="AE116" s="175"/>
      <c r="AF116" s="175"/>
      <c r="AG116" s="175"/>
      <c r="AH116" s="175"/>
      <c r="AI116" s="259"/>
      <c r="AJ116" s="260"/>
      <c r="AK116" s="260"/>
      <c r="AL116" s="260"/>
      <c r="AM116" s="260"/>
      <c r="AN116" s="233"/>
      <c r="AO116" s="261"/>
      <c r="AP116" s="253" t="e">
        <f t="shared" si="16"/>
        <v>#N/A</v>
      </c>
      <c r="AQ116" s="233"/>
      <c r="AR116" s="264" t="e">
        <f t="shared" si="14"/>
        <v>#N/A</v>
      </c>
      <c r="AS116" s="264" t="e">
        <f>AJ166</f>
        <v>#N/A</v>
      </c>
      <c r="AT116" s="233" t="e">
        <f>IF($AN$113="SEE SPEC.","SEE SPEC.",IF(AND($AK$88=1,$AN$113&gt;=0),0,$AN$113))</f>
        <v>#N/A</v>
      </c>
      <c r="AU116" s="260" t="e">
        <f t="shared" si="17"/>
        <v>#N/A</v>
      </c>
      <c r="AV116" s="233" t="e">
        <f t="shared" si="15"/>
        <v>#N/A</v>
      </c>
      <c r="AW116" s="260" t="e">
        <f>IF(AT116="SEE SPEC.","SEE SPEC.",IF($AK$86=3,AM115,IF($AK$86=2,AM114,IF($AK$86=1,AM113))))</f>
        <v>#N/A</v>
      </c>
      <c r="AX116" s="231" t="e">
        <f>$AX$114</f>
        <v>#N/A</v>
      </c>
      <c r="AY116" s="91" t="e">
        <f>SUM($AS$93:AS116)</f>
        <v>#DIV/0!</v>
      </c>
      <c r="BB116" s="618">
        <v>93.89999999999944</v>
      </c>
      <c r="BC116" s="619">
        <v>1.02</v>
      </c>
      <c r="BD116" s="619">
        <v>1.02</v>
      </c>
      <c r="BE116" s="618">
        <v>93.89999999999944</v>
      </c>
      <c r="BF116" s="619">
        <v>1.02</v>
      </c>
      <c r="BG116" s="619">
        <v>1.02</v>
      </c>
      <c r="BH116" s="623">
        <f t="shared" si="8"/>
        <v>1.02</v>
      </c>
      <c r="BI116" s="623">
        <f t="shared" si="9"/>
        <v>1.02</v>
      </c>
      <c r="BP116" s="260"/>
    </row>
    <row r="117" spans="2:61" ht="12.75" hidden="1">
      <c r="B117" s="1" t="e">
        <f>B39</f>
        <v>#N/A</v>
      </c>
      <c r="C117" s="690" t="e">
        <f>C39</f>
        <v>#N/A</v>
      </c>
      <c r="D117" s="536" t="str">
        <f>IF(K39="","",IF(K39="SEE SPEC",0,IF(K39="low voids",0,K39)))</f>
        <v> </v>
      </c>
      <c r="E117" s="65" t="e">
        <f>IF(INT($I$48)=B117,$N$48,1)</f>
        <v>#N/A</v>
      </c>
      <c r="F117" s="65" t="e">
        <f>IF(INT($I$52)=C117,$N$52,1)</f>
        <v>#N/A</v>
      </c>
      <c r="G117" s="65">
        <f>IF(D117=" ","",D117*E117*F117)</f>
      </c>
      <c r="V117" s="185">
        <v>86.6</v>
      </c>
      <c r="W117" s="212" t="s">
        <v>160</v>
      </c>
      <c r="X117" s="212" t="s">
        <v>160</v>
      </c>
      <c r="Y117" s="212" t="s">
        <v>160</v>
      </c>
      <c r="Z117" s="212" t="s">
        <v>160</v>
      </c>
      <c r="AA117" s="212" t="s">
        <v>160</v>
      </c>
      <c r="AB117" s="237" t="s">
        <v>160</v>
      </c>
      <c r="AC117" s="92"/>
      <c r="AD117" s="175"/>
      <c r="AE117" s="175"/>
      <c r="AF117" s="92"/>
      <c r="AG117" s="177"/>
      <c r="AH117" s="177"/>
      <c r="AI117" s="177"/>
      <c r="AJ117" s="92"/>
      <c r="AK117" s="210"/>
      <c r="AL117" s="94"/>
      <c r="AM117" s="94"/>
      <c r="AN117" s="94"/>
      <c r="AO117" s="94"/>
      <c r="AP117" s="92"/>
      <c r="AQ117" s="92"/>
      <c r="AR117" s="92"/>
      <c r="AS117" s="92"/>
      <c r="AT117" s="92"/>
      <c r="AU117" s="92"/>
      <c r="AV117" s="92"/>
      <c r="AW117" s="92"/>
      <c r="AX117" s="92"/>
      <c r="AY117" s="92"/>
      <c r="BB117" s="618">
        <v>93.99999999999943</v>
      </c>
      <c r="BC117" s="619">
        <v>1.02</v>
      </c>
      <c r="BD117" s="619">
        <v>1.02</v>
      </c>
      <c r="BE117" s="618">
        <v>93.99999999999943</v>
      </c>
      <c r="BF117" s="619">
        <v>1.02</v>
      </c>
      <c r="BG117" s="619">
        <v>1.02</v>
      </c>
      <c r="BH117" s="623">
        <f t="shared" si="8"/>
        <v>1.02</v>
      </c>
      <c r="BI117" s="623">
        <f t="shared" si="9"/>
        <v>1.02</v>
      </c>
    </row>
    <row r="118" spans="3:61" ht="12.75" hidden="1">
      <c r="C118" s="1" t="e">
        <f>C40</f>
        <v>#N/A</v>
      </c>
      <c r="D118" s="536" t="str">
        <f>IF(K40="","",IF(K40="SEE SPEC",0,IF(K40="low voids",0,K40)))</f>
        <v> </v>
      </c>
      <c r="E118" s="65" t="e">
        <f>IF(INT($I$48)=B117,$N$48,1)</f>
        <v>#N/A</v>
      </c>
      <c r="F118" s="65" t="e">
        <f>IF(INT($I$52)=C117,$N$52,1)</f>
        <v>#N/A</v>
      </c>
      <c r="G118" s="65">
        <f>IF(D118=" ","",D118*E118*F118)</f>
      </c>
      <c r="V118" s="185">
        <v>86.7</v>
      </c>
      <c r="W118" s="212" t="s">
        <v>160</v>
      </c>
      <c r="X118" s="212" t="s">
        <v>160</v>
      </c>
      <c r="Y118" s="212" t="s">
        <v>160</v>
      </c>
      <c r="Z118" s="212" t="s">
        <v>160</v>
      </c>
      <c r="AA118" s="212" t="s">
        <v>160</v>
      </c>
      <c r="AB118" s="237" t="s">
        <v>160</v>
      </c>
      <c r="AC118" s="92"/>
      <c r="AD118" s="85"/>
      <c r="AE118" s="87"/>
      <c r="AF118" s="92"/>
      <c r="AG118" s="92"/>
      <c r="AH118" s="92"/>
      <c r="AI118" s="92"/>
      <c r="AJ118" s="92"/>
      <c r="AK118" s="92"/>
      <c r="AL118" s="94"/>
      <c r="AM118" s="94"/>
      <c r="AN118" s="94"/>
      <c r="AO118" s="94"/>
      <c r="AP118" s="92"/>
      <c r="AQ118" s="92"/>
      <c r="AR118" s="92"/>
      <c r="AS118" s="92"/>
      <c r="AT118" s="92"/>
      <c r="AU118" s="92"/>
      <c r="AV118" s="92"/>
      <c r="AW118" s="92"/>
      <c r="AX118" s="92"/>
      <c r="AY118" s="92"/>
      <c r="BB118" s="618">
        <v>94.09999999999943</v>
      </c>
      <c r="BC118" s="619">
        <v>1.02</v>
      </c>
      <c r="BD118" s="619">
        <v>1.02</v>
      </c>
      <c r="BE118" s="618">
        <v>94.09999999999943</v>
      </c>
      <c r="BF118" s="619">
        <v>1.02</v>
      </c>
      <c r="BG118" s="619">
        <v>1.02</v>
      </c>
      <c r="BH118" s="623">
        <f t="shared" si="8"/>
        <v>1.02</v>
      </c>
      <c r="BI118" s="623">
        <f t="shared" si="9"/>
        <v>1.02</v>
      </c>
    </row>
    <row r="119" spans="4:61" ht="13.5" hidden="1" thickBot="1">
      <c r="D119" s="536"/>
      <c r="E119" s="65"/>
      <c r="F119" s="65"/>
      <c r="G119" s="65"/>
      <c r="V119" s="185">
        <v>86.8</v>
      </c>
      <c r="W119" s="212" t="s">
        <v>160</v>
      </c>
      <c r="X119" s="212" t="s">
        <v>160</v>
      </c>
      <c r="Y119" s="212" t="s">
        <v>160</v>
      </c>
      <c r="Z119" s="212" t="s">
        <v>160</v>
      </c>
      <c r="AA119" s="212" t="s">
        <v>160</v>
      </c>
      <c r="AB119" s="237" t="s">
        <v>160</v>
      </c>
      <c r="AC119" s="92"/>
      <c r="AD119" s="85"/>
      <c r="AE119" s="87"/>
      <c r="AF119" s="92"/>
      <c r="AG119" s="92"/>
      <c r="AH119" s="92"/>
      <c r="AI119" s="92"/>
      <c r="AJ119" s="92"/>
      <c r="AK119" s="92"/>
      <c r="AL119" s="94"/>
      <c r="AM119" s="94"/>
      <c r="AN119" s="94"/>
      <c r="AO119" s="94"/>
      <c r="AP119" s="92"/>
      <c r="AQ119" s="92"/>
      <c r="AR119" s="92"/>
      <c r="AS119" s="92"/>
      <c r="AT119" s="92"/>
      <c r="AU119" s="92"/>
      <c r="AV119" s="92"/>
      <c r="AW119" s="92"/>
      <c r="AX119" s="92"/>
      <c r="AY119" s="92"/>
      <c r="BB119" s="618">
        <v>94.19999999999942</v>
      </c>
      <c r="BC119" s="619">
        <v>1.02</v>
      </c>
      <c r="BD119" s="619">
        <v>1.02</v>
      </c>
      <c r="BE119" s="618">
        <v>94.19999999999942</v>
      </c>
      <c r="BF119" s="619">
        <v>1.02</v>
      </c>
      <c r="BG119" s="619">
        <v>1.02</v>
      </c>
      <c r="BH119" s="623">
        <f t="shared" si="8"/>
        <v>1.02</v>
      </c>
      <c r="BI119" s="623">
        <f t="shared" si="9"/>
        <v>1.02</v>
      </c>
    </row>
    <row r="120" spans="4:61" ht="18.75" hidden="1" thickBot="1">
      <c r="D120" s="536"/>
      <c r="E120" s="65"/>
      <c r="F120" s="65"/>
      <c r="G120" s="65"/>
      <c r="V120" s="185">
        <v>86.9</v>
      </c>
      <c r="W120" s="212" t="s">
        <v>160</v>
      </c>
      <c r="X120" s="212" t="s">
        <v>160</v>
      </c>
      <c r="Y120" s="212" t="s">
        <v>160</v>
      </c>
      <c r="Z120" s="212" t="s">
        <v>160</v>
      </c>
      <c r="AA120" s="212" t="s">
        <v>160</v>
      </c>
      <c r="AB120" s="237" t="s">
        <v>160</v>
      </c>
      <c r="AC120" s="92"/>
      <c r="AD120" s="175" t="s">
        <v>122</v>
      </c>
      <c r="AE120" s="203" t="s">
        <v>116</v>
      </c>
      <c r="AF120" s="204" t="s">
        <v>117</v>
      </c>
      <c r="AG120" s="204" t="s">
        <v>118</v>
      </c>
      <c r="AH120" s="204" t="s">
        <v>119</v>
      </c>
      <c r="AI120" s="204" t="s">
        <v>120</v>
      </c>
      <c r="AJ120" s="205" t="s">
        <v>121</v>
      </c>
      <c r="AK120" s="92"/>
      <c r="AL120" s="15" t="s">
        <v>0</v>
      </c>
      <c r="AM120" s="214"/>
      <c r="AN120" s="214"/>
      <c r="AO120" s="94"/>
      <c r="AP120" s="92"/>
      <c r="AQ120" s="92"/>
      <c r="AR120" s="92"/>
      <c r="AS120" s="92"/>
      <c r="AT120" s="92"/>
      <c r="AU120" s="92"/>
      <c r="AV120" s="92"/>
      <c r="AW120" s="92"/>
      <c r="AX120" s="92"/>
      <c r="AY120" s="92"/>
      <c r="BB120" s="618">
        <v>94.29999999999941</v>
      </c>
      <c r="BC120" s="619">
        <v>1.02</v>
      </c>
      <c r="BD120" s="619">
        <v>1.02</v>
      </c>
      <c r="BE120" s="618">
        <v>94.29999999999941</v>
      </c>
      <c r="BF120" s="619">
        <v>1.02</v>
      </c>
      <c r="BG120" s="619">
        <v>1.02</v>
      </c>
      <c r="BH120" s="623">
        <f t="shared" si="8"/>
        <v>1.02</v>
      </c>
      <c r="BI120" s="623">
        <f t="shared" si="9"/>
        <v>1.02</v>
      </c>
    </row>
    <row r="121" spans="2:61" ht="12.75" hidden="1">
      <c r="B121" s="1" t="e">
        <f>B43</f>
        <v>#N/A</v>
      </c>
      <c r="C121" s="690" t="e">
        <f>C43</f>
        <v>#N/A</v>
      </c>
      <c r="D121" s="536" t="str">
        <f>IF(K43="","",IF(K43="SEE SPEC",0,IF(K43="low voids",0,K43)))</f>
        <v> </v>
      </c>
      <c r="E121" s="65" t="e">
        <f>IF(INT($I$48)=B121,$N$48,1)</f>
        <v>#N/A</v>
      </c>
      <c r="F121" s="65" t="e">
        <f>IF(INT($I$52)=B121,$N$52,1)</f>
        <v>#N/A</v>
      </c>
      <c r="G121" s="65">
        <f>IF(D121=" ","",D121*E121*F121)</f>
      </c>
      <c r="V121" s="182">
        <v>87</v>
      </c>
      <c r="W121" s="235" t="s">
        <v>160</v>
      </c>
      <c r="X121" s="235" t="s">
        <v>160</v>
      </c>
      <c r="Y121" s="235" t="s">
        <v>160</v>
      </c>
      <c r="Z121" s="235" t="s">
        <v>160</v>
      </c>
      <c r="AA121" s="235" t="s">
        <v>160</v>
      </c>
      <c r="AB121" s="236" t="s">
        <v>160</v>
      </c>
      <c r="AC121" s="92"/>
      <c r="AD121" s="199" t="s">
        <v>123</v>
      </c>
      <c r="AE121" s="206"/>
      <c r="AF121" s="201"/>
      <c r="AG121" s="201"/>
      <c r="AH121" s="201"/>
      <c r="AI121" s="201"/>
      <c r="AJ121" s="207"/>
      <c r="AK121" s="92"/>
      <c r="AL121" s="15" t="s">
        <v>1</v>
      </c>
      <c r="AM121" s="15"/>
      <c r="AN121" s="15"/>
      <c r="AO121" s="89"/>
      <c r="AP121" s="92"/>
      <c r="AQ121" s="92"/>
      <c r="AR121" s="92"/>
      <c r="AS121" s="92"/>
      <c r="AT121" s="92"/>
      <c r="AU121" s="92"/>
      <c r="AV121" s="92"/>
      <c r="AW121" s="92"/>
      <c r="AX121" s="92"/>
      <c r="AY121" s="92"/>
      <c r="BB121" s="618">
        <v>94.39999999999941</v>
      </c>
      <c r="BC121" s="619">
        <v>1.02</v>
      </c>
      <c r="BD121" s="619">
        <v>1.02</v>
      </c>
      <c r="BE121" s="618">
        <v>94.39999999999941</v>
      </c>
      <c r="BF121" s="619">
        <v>1.02</v>
      </c>
      <c r="BG121" s="619">
        <v>1.02</v>
      </c>
      <c r="BH121" s="623">
        <f t="shared" si="8"/>
        <v>1.02</v>
      </c>
      <c r="BI121" s="623">
        <f t="shared" si="9"/>
        <v>1.02</v>
      </c>
    </row>
    <row r="122" spans="3:61" ht="12.75" hidden="1">
      <c r="C122" s="1" t="e">
        <f>C44</f>
        <v>#N/A</v>
      </c>
      <c r="D122" s="536" t="str">
        <f>IF(K44="","",IF(K44="SEE SPEC",0,IF(K44="low voids",0,K44)))</f>
        <v> </v>
      </c>
      <c r="E122" s="65" t="e">
        <f>IF(INT($I$48)=B121,$N$48,1)</f>
        <v>#N/A</v>
      </c>
      <c r="F122" s="65" t="e">
        <f>IF(INT($I$52)=B121,$N$52,1)</f>
        <v>#N/A</v>
      </c>
      <c r="G122" s="65">
        <f>IF(D122=" ","",D122*E122*F122)</f>
      </c>
      <c r="V122" s="185">
        <v>87.1</v>
      </c>
      <c r="W122" s="212" t="s">
        <v>160</v>
      </c>
      <c r="X122" s="212" t="s">
        <v>160</v>
      </c>
      <c r="Y122" s="212" t="s">
        <v>160</v>
      </c>
      <c r="Z122" s="212" t="s">
        <v>160</v>
      </c>
      <c r="AA122" s="212" t="s">
        <v>160</v>
      </c>
      <c r="AB122" s="237" t="s">
        <v>160</v>
      </c>
      <c r="AC122" s="92"/>
      <c r="AD122" s="196" t="s">
        <v>124</v>
      </c>
      <c r="AE122" s="208" t="e">
        <f>Q20</f>
        <v>#N/A</v>
      </c>
      <c r="AF122" s="202" t="e">
        <f>Q20*2</f>
        <v>#N/A</v>
      </c>
      <c r="AG122" s="202" t="e">
        <f>Q20*3</f>
        <v>#N/A</v>
      </c>
      <c r="AH122" s="202" t="e">
        <f>Q20*4</f>
        <v>#N/A</v>
      </c>
      <c r="AI122" s="202" t="e">
        <f>Q20*5</f>
        <v>#N/A</v>
      </c>
      <c r="AJ122" s="209" t="e">
        <f>Q20*6</f>
        <v>#N/A</v>
      </c>
      <c r="AK122" s="92"/>
      <c r="AL122" s="175" t="s">
        <v>4</v>
      </c>
      <c r="AM122" s="15"/>
      <c r="AN122" s="15"/>
      <c r="AO122" s="92"/>
      <c r="AP122" s="92"/>
      <c r="AQ122" s="92"/>
      <c r="AR122" s="92"/>
      <c r="AS122" s="92"/>
      <c r="AT122" s="92"/>
      <c r="AU122" s="92"/>
      <c r="AV122" s="92"/>
      <c r="AW122" s="92"/>
      <c r="AX122" s="92"/>
      <c r="AY122" s="92"/>
      <c r="BB122" s="618">
        <v>94.4999999999994</v>
      </c>
      <c r="BC122" s="619">
        <v>1.02</v>
      </c>
      <c r="BD122" s="619">
        <v>1.02</v>
      </c>
      <c r="BE122" s="618">
        <v>94.4999999999994</v>
      </c>
      <c r="BF122" s="619">
        <v>1.02</v>
      </c>
      <c r="BG122" s="619">
        <v>1.02</v>
      </c>
      <c r="BH122" s="623">
        <f t="shared" si="8"/>
        <v>1.02</v>
      </c>
      <c r="BI122" s="623">
        <f t="shared" si="9"/>
        <v>1.02</v>
      </c>
    </row>
    <row r="123" spans="4:61" ht="12.75" hidden="1">
      <c r="D123" s="536"/>
      <c r="E123" s="65"/>
      <c r="F123" s="65"/>
      <c r="G123" s="65"/>
      <c r="V123" s="185">
        <v>87.2</v>
      </c>
      <c r="W123" s="212" t="s">
        <v>160</v>
      </c>
      <c r="X123" s="212" t="s">
        <v>160</v>
      </c>
      <c r="Y123" s="212" t="s">
        <v>160</v>
      </c>
      <c r="Z123" s="212" t="s">
        <v>160</v>
      </c>
      <c r="AA123" s="212" t="s">
        <v>160</v>
      </c>
      <c r="AB123" s="237" t="s">
        <v>160</v>
      </c>
      <c r="AC123" s="92"/>
      <c r="AD123" s="197" t="e">
        <f>D15*$G$11</f>
        <v>#DIV/0!</v>
      </c>
      <c r="AE123" s="144" t="e">
        <f>IF(AD123&lt;=$AE$122,AD123,"")</f>
        <v>#DIV/0!</v>
      </c>
      <c r="AF123" s="134" t="e">
        <f aca="true" t="shared" si="18" ref="AF123:AF130">IF(AND(AD123&lt;=$AF$122,AD123&gt;=$AE$122),AD123,"")</f>
        <v>#DIV/0!</v>
      </c>
      <c r="AG123" s="134" t="e">
        <f aca="true" t="shared" si="19" ref="AG123:AG130">IF(AND(AD123&lt;=$AG$122,AD123&gt;=$AF$122),AD123,"")</f>
        <v>#DIV/0!</v>
      </c>
      <c r="AH123" s="134" t="e">
        <f aca="true" t="shared" si="20" ref="AH123:AH130">IF(AND(AD123&lt;=$AH$122,AD123&gt;=$AG$122),AD123,"")</f>
        <v>#DIV/0!</v>
      </c>
      <c r="AI123" s="134" t="e">
        <f aca="true" t="shared" si="21" ref="AI123:AI130">IF(AND(AD123&lt;=$AI$122,AD123&gt;=$AH$122),AD123,"")</f>
        <v>#DIV/0!</v>
      </c>
      <c r="AJ123" s="145" t="e">
        <f aca="true" t="shared" si="22" ref="AJ123:AJ130">IF(AND(AD123&lt;=$AJ$122,AD123&gt;=$AI$122),AD123,"")</f>
        <v>#DIV/0!</v>
      </c>
      <c r="AK123" s="92"/>
      <c r="AL123" s="28" t="e">
        <f>IF(AG96=1,VLOOKUP(Q14,$AD$100:$AE$107,2),IF(AG96=2,VLOOKUP(Q14,$AF$100:$AG$107,2)))</f>
        <v>#N/A</v>
      </c>
      <c r="AM123" s="15"/>
      <c r="AN123" s="15"/>
      <c r="AO123" s="92"/>
      <c r="AP123" s="92"/>
      <c r="AQ123" s="92"/>
      <c r="AR123" s="92"/>
      <c r="AS123" s="92"/>
      <c r="AT123" s="92"/>
      <c r="AU123" s="92"/>
      <c r="AV123" s="92"/>
      <c r="AW123" s="92"/>
      <c r="AX123" s="92"/>
      <c r="AY123" s="92"/>
      <c r="BB123" s="618">
        <v>94.5999999999994</v>
      </c>
      <c r="BC123" s="619">
        <v>1.02</v>
      </c>
      <c r="BD123" s="619">
        <v>1.02</v>
      </c>
      <c r="BE123" s="618">
        <v>94.5999999999994</v>
      </c>
      <c r="BF123" s="619">
        <v>1.02</v>
      </c>
      <c r="BG123" s="619">
        <v>1.02</v>
      </c>
      <c r="BH123" s="623">
        <f t="shared" si="8"/>
        <v>1.02</v>
      </c>
      <c r="BI123" s="623">
        <f t="shared" si="9"/>
        <v>1.02</v>
      </c>
    </row>
    <row r="124" spans="4:61" ht="12.75" hidden="1">
      <c r="D124" s="536"/>
      <c r="E124" s="65"/>
      <c r="F124" s="65"/>
      <c r="G124" s="65"/>
      <c r="V124" s="185">
        <v>87.3</v>
      </c>
      <c r="W124" s="212" t="s">
        <v>160</v>
      </c>
      <c r="X124" s="212" t="s">
        <v>160</v>
      </c>
      <c r="Y124" s="212" t="s">
        <v>160</v>
      </c>
      <c r="Z124" s="212" t="s">
        <v>160</v>
      </c>
      <c r="AA124" s="212" t="s">
        <v>160</v>
      </c>
      <c r="AB124" s="237" t="s">
        <v>160</v>
      </c>
      <c r="AC124" s="92"/>
      <c r="AD124" s="39" t="e">
        <f>F14*G11</f>
        <v>#DIV/0!</v>
      </c>
      <c r="AE124" s="144" t="e">
        <f>IF(AD124&lt;=$AE$122,AD124,"")</f>
        <v>#DIV/0!</v>
      </c>
      <c r="AF124" s="134" t="e">
        <f t="shared" si="18"/>
        <v>#DIV/0!</v>
      </c>
      <c r="AG124" s="134" t="e">
        <f t="shared" si="19"/>
        <v>#DIV/0!</v>
      </c>
      <c r="AH124" s="134" t="e">
        <f t="shared" si="20"/>
        <v>#DIV/0!</v>
      </c>
      <c r="AI124" s="134" t="e">
        <f t="shared" si="21"/>
        <v>#DIV/0!</v>
      </c>
      <c r="AJ124" s="145" t="e">
        <f t="shared" si="22"/>
        <v>#DIV/0!</v>
      </c>
      <c r="AK124" s="92"/>
      <c r="AL124" s="179" t="s">
        <v>6</v>
      </c>
      <c r="AM124" s="28" t="s">
        <v>182</v>
      </c>
      <c r="AN124" s="175"/>
      <c r="AO124" s="92"/>
      <c r="AP124" s="92"/>
      <c r="AQ124" s="92"/>
      <c r="AR124" s="92"/>
      <c r="AS124" s="92"/>
      <c r="AT124" s="92"/>
      <c r="AU124" s="92"/>
      <c r="AV124" s="92"/>
      <c r="AW124" s="92"/>
      <c r="AX124" s="92"/>
      <c r="AY124" s="92"/>
      <c r="BB124" s="618">
        <v>94.69999999999939</v>
      </c>
      <c r="BC124" s="619">
        <v>1.02</v>
      </c>
      <c r="BD124" s="619">
        <v>1.02</v>
      </c>
      <c r="BE124" s="618">
        <v>94.69999999999939</v>
      </c>
      <c r="BF124" s="619">
        <v>1.02</v>
      </c>
      <c r="BG124" s="619">
        <v>1.02</v>
      </c>
      <c r="BH124" s="623">
        <f t="shared" si="8"/>
        <v>1.02</v>
      </c>
      <c r="BI124" s="623">
        <f t="shared" si="9"/>
        <v>1.02</v>
      </c>
    </row>
    <row r="125" spans="22:61" ht="12.75" hidden="1">
      <c r="V125" s="185">
        <v>87.4</v>
      </c>
      <c r="W125" s="212" t="s">
        <v>160</v>
      </c>
      <c r="X125" s="212" t="s">
        <v>160</v>
      </c>
      <c r="Y125" s="212" t="s">
        <v>160</v>
      </c>
      <c r="Z125" s="212" t="s">
        <v>160</v>
      </c>
      <c r="AA125" s="212" t="s">
        <v>160</v>
      </c>
      <c r="AB125" s="237" t="s">
        <v>160</v>
      </c>
      <c r="AC125" s="92"/>
      <c r="AD125" s="197" t="e">
        <f>G14*G11</f>
        <v>#DIV/0!</v>
      </c>
      <c r="AE125" s="144" t="e">
        <f>IF(AD125&lt;=$AE$122,AD125,"")</f>
        <v>#DIV/0!</v>
      </c>
      <c r="AF125" s="134" t="e">
        <f t="shared" si="18"/>
        <v>#DIV/0!</v>
      </c>
      <c r="AG125" s="134" t="e">
        <f t="shared" si="19"/>
        <v>#DIV/0!</v>
      </c>
      <c r="AH125" s="134" t="e">
        <f t="shared" si="20"/>
        <v>#DIV/0!</v>
      </c>
      <c r="AI125" s="134" t="e">
        <f t="shared" si="21"/>
        <v>#DIV/0!</v>
      </c>
      <c r="AJ125" s="145" t="e">
        <f t="shared" si="22"/>
        <v>#DIV/0!</v>
      </c>
      <c r="AK125" s="92"/>
      <c r="AL125" s="179" t="s">
        <v>65</v>
      </c>
      <c r="AM125" s="28" t="s">
        <v>182</v>
      </c>
      <c r="AN125" s="175"/>
      <c r="AO125" s="92"/>
      <c r="AP125" s="92"/>
      <c r="AQ125" s="92"/>
      <c r="AR125" s="92"/>
      <c r="AS125" s="92"/>
      <c r="AT125" s="92"/>
      <c r="AU125" s="92"/>
      <c r="AV125" s="92"/>
      <c r="AW125" s="92"/>
      <c r="AX125" s="92"/>
      <c r="AY125" s="92"/>
      <c r="BB125" s="618">
        <v>94.79999999999939</v>
      </c>
      <c r="BC125" s="619">
        <v>1.02</v>
      </c>
      <c r="BD125" s="619">
        <v>1.02</v>
      </c>
      <c r="BE125" s="618">
        <v>94.79999999999939</v>
      </c>
      <c r="BF125" s="619">
        <v>1.02</v>
      </c>
      <c r="BG125" s="619">
        <v>1.02</v>
      </c>
      <c r="BH125" s="623">
        <f t="shared" si="8"/>
        <v>1.02</v>
      </c>
      <c r="BI125" s="623">
        <f t="shared" si="9"/>
        <v>1.02</v>
      </c>
    </row>
    <row r="126" spans="22:61" ht="12.75">
      <c r="V126" s="185">
        <v>87.5</v>
      </c>
      <c r="W126" s="212" t="s">
        <v>160</v>
      </c>
      <c r="X126" s="212" t="s">
        <v>160</v>
      </c>
      <c r="Y126" s="212" t="s">
        <v>160</v>
      </c>
      <c r="Z126" s="212" t="s">
        <v>160</v>
      </c>
      <c r="AA126" s="212" t="s">
        <v>160</v>
      </c>
      <c r="AB126" s="237" t="s">
        <v>160</v>
      </c>
      <c r="AC126" s="92"/>
      <c r="AD126" s="197" t="e">
        <f>H14*G11</f>
        <v>#DIV/0!</v>
      </c>
      <c r="AE126" s="144" t="e">
        <f>IF(AD126&lt;=$AE$122,AD126,"")</f>
        <v>#DIV/0!</v>
      </c>
      <c r="AF126" s="134" t="e">
        <f t="shared" si="18"/>
        <v>#DIV/0!</v>
      </c>
      <c r="AG126" s="134" t="e">
        <f t="shared" si="19"/>
        <v>#DIV/0!</v>
      </c>
      <c r="AH126" s="134" t="e">
        <f t="shared" si="20"/>
        <v>#DIV/0!</v>
      </c>
      <c r="AI126" s="134" t="e">
        <f t="shared" si="21"/>
        <v>#DIV/0!</v>
      </c>
      <c r="AJ126" s="145" t="e">
        <f t="shared" si="22"/>
        <v>#DIV/0!</v>
      </c>
      <c r="AK126" s="92"/>
      <c r="AL126" s="179" t="s">
        <v>12</v>
      </c>
      <c r="AM126" s="28" t="s">
        <v>182</v>
      </c>
      <c r="AN126" s="175"/>
      <c r="AO126" s="92"/>
      <c r="AP126" s="92"/>
      <c r="AQ126" s="92"/>
      <c r="AR126" s="92"/>
      <c r="AS126" s="92"/>
      <c r="AT126" s="92"/>
      <c r="AU126" s="92"/>
      <c r="AV126" s="92"/>
      <c r="AW126" s="92"/>
      <c r="AX126" s="92"/>
      <c r="AY126" s="92"/>
      <c r="BB126" s="618">
        <v>94.89999999999938</v>
      </c>
      <c r="BC126" s="619">
        <v>1.02</v>
      </c>
      <c r="BD126" s="619">
        <v>1.02</v>
      </c>
      <c r="BE126" s="618">
        <v>94.89999999999938</v>
      </c>
      <c r="BF126" s="619">
        <v>1.02</v>
      </c>
      <c r="BG126" s="619">
        <v>1.02</v>
      </c>
      <c r="BH126" s="623">
        <f t="shared" si="8"/>
        <v>1.02</v>
      </c>
      <c r="BI126" s="623">
        <f t="shared" si="9"/>
        <v>1.02</v>
      </c>
    </row>
    <row r="127" spans="22:61" ht="12.75">
      <c r="V127" s="185">
        <v>87.6</v>
      </c>
      <c r="W127" s="212" t="s">
        <v>160</v>
      </c>
      <c r="X127" s="212" t="s">
        <v>160</v>
      </c>
      <c r="Y127" s="212" t="s">
        <v>160</v>
      </c>
      <c r="Z127" s="212" t="s">
        <v>160</v>
      </c>
      <c r="AA127" s="212" t="s">
        <v>160</v>
      </c>
      <c r="AB127" s="237" t="s">
        <v>160</v>
      </c>
      <c r="AC127" s="92"/>
      <c r="AD127" s="39" t="e">
        <f>I14*G11</f>
        <v>#DIV/0!</v>
      </c>
      <c r="AE127" s="134" t="e">
        <f>IF(AND(AC127&lt;=$AF$122,AC127&gt;=$AE$122),AC127,"")</f>
        <v>#N/A</v>
      </c>
      <c r="AF127" s="134" t="e">
        <f t="shared" si="18"/>
        <v>#DIV/0!</v>
      </c>
      <c r="AG127" s="134" t="e">
        <f t="shared" si="19"/>
        <v>#DIV/0!</v>
      </c>
      <c r="AH127" s="134" t="e">
        <f t="shared" si="20"/>
        <v>#DIV/0!</v>
      </c>
      <c r="AI127" s="134" t="e">
        <f t="shared" si="21"/>
        <v>#DIV/0!</v>
      </c>
      <c r="AJ127" s="145" t="e">
        <f t="shared" si="22"/>
        <v>#DIV/0!</v>
      </c>
      <c r="AK127" s="92"/>
      <c r="AL127" s="180" t="s">
        <v>68</v>
      </c>
      <c r="AM127" s="28" t="s">
        <v>182</v>
      </c>
      <c r="AN127" s="175"/>
      <c r="AO127" s="92"/>
      <c r="AP127" s="92"/>
      <c r="AQ127" s="92"/>
      <c r="AR127" s="92"/>
      <c r="AS127" s="92"/>
      <c r="AT127" s="92"/>
      <c r="AU127" s="92"/>
      <c r="AV127" s="92"/>
      <c r="AW127" s="92"/>
      <c r="AX127" s="92"/>
      <c r="AY127" s="92"/>
      <c r="BB127" s="618">
        <v>94.99999999999937</v>
      </c>
      <c r="BC127" s="619">
        <v>1.02</v>
      </c>
      <c r="BD127" s="619">
        <v>1.02</v>
      </c>
      <c r="BE127" s="618">
        <v>94.99999999999937</v>
      </c>
      <c r="BF127" s="619">
        <v>1.02</v>
      </c>
      <c r="BG127" s="619">
        <v>1.02</v>
      </c>
      <c r="BH127" s="623">
        <f t="shared" si="8"/>
        <v>1.02</v>
      </c>
      <c r="BI127" s="623">
        <f t="shared" si="9"/>
        <v>1.02</v>
      </c>
    </row>
    <row r="128" spans="22:61" ht="12.75">
      <c r="V128" s="185">
        <v>87.7</v>
      </c>
      <c r="W128" s="212" t="s">
        <v>160</v>
      </c>
      <c r="X128" s="212" t="s">
        <v>160</v>
      </c>
      <c r="Y128" s="212" t="s">
        <v>160</v>
      </c>
      <c r="Z128" s="212" t="s">
        <v>160</v>
      </c>
      <c r="AA128" s="212" t="s">
        <v>160</v>
      </c>
      <c r="AB128" s="237" t="s">
        <v>160</v>
      </c>
      <c r="AC128" s="92"/>
      <c r="AD128" s="39" t="e">
        <f>J14*G11</f>
        <v>#DIV/0!</v>
      </c>
      <c r="AE128" s="134" t="e">
        <f>IF(AND(AC128&lt;=$AF$122,AC128&gt;=$AE$122),AC128,"")</f>
        <v>#N/A</v>
      </c>
      <c r="AF128" s="134" t="e">
        <f t="shared" si="18"/>
        <v>#DIV/0!</v>
      </c>
      <c r="AG128" s="134" t="e">
        <f t="shared" si="19"/>
        <v>#DIV/0!</v>
      </c>
      <c r="AH128" s="134" t="e">
        <f t="shared" si="20"/>
        <v>#DIV/0!</v>
      </c>
      <c r="AI128" s="134" t="e">
        <f t="shared" si="21"/>
        <v>#DIV/0!</v>
      </c>
      <c r="AJ128" s="145" t="e">
        <f t="shared" si="22"/>
        <v>#DIV/0!</v>
      </c>
      <c r="AK128" s="92"/>
      <c r="AL128" s="181" t="s">
        <v>14</v>
      </c>
      <c r="AM128" s="28" t="s">
        <v>183</v>
      </c>
      <c r="AN128" s="215"/>
      <c r="AO128" s="92"/>
      <c r="AP128" s="92"/>
      <c r="AQ128" s="92"/>
      <c r="AR128" s="92"/>
      <c r="AS128" s="92"/>
      <c r="AT128" s="92"/>
      <c r="AU128" s="92"/>
      <c r="AV128" s="92"/>
      <c r="AW128" s="92"/>
      <c r="AX128" s="92"/>
      <c r="AY128" s="92"/>
      <c r="BB128" s="618">
        <v>95.09999999999937</v>
      </c>
      <c r="BC128" s="619">
        <v>1.02</v>
      </c>
      <c r="BD128" s="619">
        <v>1.02</v>
      </c>
      <c r="BE128" s="618">
        <v>95.09999999999937</v>
      </c>
      <c r="BF128" s="619">
        <v>1.02</v>
      </c>
      <c r="BG128" s="619">
        <v>1.02</v>
      </c>
      <c r="BH128" s="623">
        <f t="shared" si="8"/>
        <v>1.02</v>
      </c>
      <c r="BI128" s="623">
        <f t="shared" si="9"/>
        <v>1.02</v>
      </c>
    </row>
    <row r="129" spans="22:61" ht="12.75">
      <c r="V129" s="185">
        <v>87.8</v>
      </c>
      <c r="W129" s="212" t="s">
        <v>160</v>
      </c>
      <c r="X129" s="212" t="s">
        <v>160</v>
      </c>
      <c r="Y129" s="212" t="s">
        <v>160</v>
      </c>
      <c r="Z129" s="212" t="s">
        <v>160</v>
      </c>
      <c r="AA129" s="212" t="s">
        <v>160</v>
      </c>
      <c r="AB129" s="237" t="s">
        <v>160</v>
      </c>
      <c r="AC129" s="92"/>
      <c r="AD129" s="197" t="e">
        <f>K14*G11</f>
        <v>#DIV/0!</v>
      </c>
      <c r="AE129" s="134" t="e">
        <f>IF(AND(AC129&lt;=$AF$122,AC129&gt;=$AE$122),AC129,"")</f>
        <v>#N/A</v>
      </c>
      <c r="AF129" s="134" t="e">
        <f t="shared" si="18"/>
        <v>#DIV/0!</v>
      </c>
      <c r="AG129" s="134" t="e">
        <f t="shared" si="19"/>
        <v>#DIV/0!</v>
      </c>
      <c r="AH129" s="134" t="e">
        <f t="shared" si="20"/>
        <v>#DIV/0!</v>
      </c>
      <c r="AI129" s="134" t="e">
        <f t="shared" si="21"/>
        <v>#DIV/0!</v>
      </c>
      <c r="AJ129" s="145" t="e">
        <f t="shared" si="22"/>
        <v>#DIV/0!</v>
      </c>
      <c r="AK129" s="92"/>
      <c r="AL129" s="181" t="s">
        <v>69</v>
      </c>
      <c r="AM129" s="28" t="s">
        <v>183</v>
      </c>
      <c r="AN129" s="175"/>
      <c r="AO129" s="92"/>
      <c r="AP129" s="92"/>
      <c r="AQ129" s="92"/>
      <c r="AR129" s="92"/>
      <c r="AS129" s="92"/>
      <c r="AT129" s="92"/>
      <c r="AU129" s="92"/>
      <c r="AV129" s="92"/>
      <c r="AW129" s="92"/>
      <c r="AX129" s="92"/>
      <c r="AY129" s="92"/>
      <c r="BB129" s="618">
        <v>95.19999999999936</v>
      </c>
      <c r="BC129" s="619">
        <v>1.02</v>
      </c>
      <c r="BD129" s="619">
        <v>1.02</v>
      </c>
      <c r="BE129" s="618">
        <v>95.19999999999936</v>
      </c>
      <c r="BF129" s="619">
        <v>1.02</v>
      </c>
      <c r="BG129" s="619">
        <v>1.02</v>
      </c>
      <c r="BH129" s="623">
        <f t="shared" si="8"/>
        <v>1.02</v>
      </c>
      <c r="BI129" s="623">
        <f t="shared" si="9"/>
        <v>1.02</v>
      </c>
    </row>
    <row r="130" spans="22:61" ht="13.5" thickBot="1">
      <c r="V130" s="185">
        <v>87.9</v>
      </c>
      <c r="W130" s="212" t="s">
        <v>160</v>
      </c>
      <c r="X130" s="212" t="s">
        <v>160</v>
      </c>
      <c r="Y130" s="212" t="s">
        <v>160</v>
      </c>
      <c r="Z130" s="212" t="s">
        <v>160</v>
      </c>
      <c r="AA130" s="212" t="s">
        <v>160</v>
      </c>
      <c r="AB130" s="237" t="s">
        <v>160</v>
      </c>
      <c r="AC130" s="92"/>
      <c r="AD130" s="197" t="e">
        <f>M14*G11</f>
        <v>#DIV/0!</v>
      </c>
      <c r="AE130" s="146" t="e">
        <f>IF(AND(Y16&lt;=$AF$122,Y16&gt;=$AE$122),Y16,"")</f>
        <v>#N/A</v>
      </c>
      <c r="AF130" s="147" t="e">
        <f t="shared" si="18"/>
        <v>#DIV/0!</v>
      </c>
      <c r="AG130" s="147" t="e">
        <f t="shared" si="19"/>
        <v>#DIV/0!</v>
      </c>
      <c r="AH130" s="147" t="e">
        <f t="shared" si="20"/>
        <v>#DIV/0!</v>
      </c>
      <c r="AI130" s="147" t="e">
        <f t="shared" si="21"/>
        <v>#DIV/0!</v>
      </c>
      <c r="AJ130" s="148" t="e">
        <f t="shared" si="22"/>
        <v>#DIV/0!</v>
      </c>
      <c r="AK130" s="92"/>
      <c r="AL130" s="324" t="s">
        <v>163</v>
      </c>
      <c r="AM130" s="28" t="s">
        <v>183</v>
      </c>
      <c r="AN130" s="175"/>
      <c r="AO130" s="92"/>
      <c r="AP130" s="92"/>
      <c r="AQ130" s="92"/>
      <c r="AR130" s="92"/>
      <c r="AS130" s="92"/>
      <c r="AT130" s="92"/>
      <c r="AU130" s="92"/>
      <c r="AV130" s="92"/>
      <c r="AW130" s="92"/>
      <c r="AX130" s="92"/>
      <c r="AY130" s="92"/>
      <c r="BB130" s="618">
        <v>95.29999999999936</v>
      </c>
      <c r="BC130" s="619">
        <v>1.02</v>
      </c>
      <c r="BD130" s="619">
        <v>1.02</v>
      </c>
      <c r="BE130" s="618">
        <v>95.29999999999936</v>
      </c>
      <c r="BF130" s="619">
        <v>1.02</v>
      </c>
      <c r="BG130" s="619">
        <v>1.02</v>
      </c>
      <c r="BH130" s="623">
        <f t="shared" si="8"/>
        <v>1.02</v>
      </c>
      <c r="BI130" s="623">
        <f t="shared" si="9"/>
        <v>1.02</v>
      </c>
    </row>
    <row r="131" spans="22:61" ht="12.75">
      <c r="V131" s="185">
        <v>88</v>
      </c>
      <c r="W131" s="212" t="s">
        <v>160</v>
      </c>
      <c r="X131" s="212" t="s">
        <v>160</v>
      </c>
      <c r="Y131" s="212" t="s">
        <v>160</v>
      </c>
      <c r="Z131" s="212" t="s">
        <v>160</v>
      </c>
      <c r="AA131" s="212" t="s">
        <v>160</v>
      </c>
      <c r="AB131" s="237" t="s">
        <v>160</v>
      </c>
      <c r="AC131" s="92"/>
      <c r="AD131" s="197"/>
      <c r="AE131" s="141">
        <v>0.01</v>
      </c>
      <c r="AF131" s="142" t="e">
        <f>AE135+0.01</f>
        <v>#N/A</v>
      </c>
      <c r="AG131" s="142" t="e">
        <f>AF135+0.01</f>
        <v>#N/A</v>
      </c>
      <c r="AH131" s="142" t="e">
        <f>AG135+0.01</f>
        <v>#N/A</v>
      </c>
      <c r="AI131" s="142" t="e">
        <f>AH135+0.01</f>
        <v>#N/A</v>
      </c>
      <c r="AJ131" s="143" t="e">
        <f>AI135+0.01</f>
        <v>#N/A</v>
      </c>
      <c r="AK131" s="92"/>
      <c r="AL131" s="324" t="s">
        <v>164</v>
      </c>
      <c r="AM131" s="28" t="s">
        <v>183</v>
      </c>
      <c r="AN131" s="175"/>
      <c r="AO131" s="92"/>
      <c r="AP131" s="92"/>
      <c r="AQ131" s="92"/>
      <c r="AR131" s="92"/>
      <c r="AS131" s="92"/>
      <c r="AT131" s="92"/>
      <c r="AU131" s="92"/>
      <c r="AV131" s="92"/>
      <c r="AW131" s="92"/>
      <c r="AX131" s="92"/>
      <c r="AY131" s="92"/>
      <c r="BB131" s="618">
        <v>95.39999999999935</v>
      </c>
      <c r="BC131" s="619">
        <v>1.02</v>
      </c>
      <c r="BD131" s="619">
        <v>1.02</v>
      </c>
      <c r="BE131" s="618">
        <v>95.39999999999935</v>
      </c>
      <c r="BF131" s="619">
        <v>1.02</v>
      </c>
      <c r="BG131" s="619">
        <v>1.02</v>
      </c>
      <c r="BH131" s="623">
        <f t="shared" si="8"/>
        <v>1.02</v>
      </c>
      <c r="BI131" s="623">
        <f t="shared" si="9"/>
        <v>1.02</v>
      </c>
    </row>
    <row r="132" spans="22:61" ht="12.75">
      <c r="V132" s="185">
        <v>88.1</v>
      </c>
      <c r="W132" s="212" t="s">
        <v>160</v>
      </c>
      <c r="X132" s="212" t="s">
        <v>160</v>
      </c>
      <c r="Y132" s="212" t="s">
        <v>160</v>
      </c>
      <c r="Z132" s="212" t="s">
        <v>160</v>
      </c>
      <c r="AA132" s="212" t="s">
        <v>160</v>
      </c>
      <c r="AB132" s="237" t="s">
        <v>160</v>
      </c>
      <c r="AC132" s="92"/>
      <c r="AD132" s="39"/>
      <c r="AE132" s="144" t="e">
        <f aca="true" t="shared" si="23" ref="AE132:AJ132">MIN(AE123:AE130)</f>
        <v>#DIV/0!</v>
      </c>
      <c r="AF132" s="134" t="e">
        <f t="shared" si="23"/>
        <v>#DIV/0!</v>
      </c>
      <c r="AG132" s="134" t="e">
        <f t="shared" si="23"/>
        <v>#DIV/0!</v>
      </c>
      <c r="AH132" s="134" t="e">
        <f t="shared" si="23"/>
        <v>#DIV/0!</v>
      </c>
      <c r="AI132" s="134" t="e">
        <f t="shared" si="23"/>
        <v>#DIV/0!</v>
      </c>
      <c r="AJ132" s="145" t="e">
        <f t="shared" si="23"/>
        <v>#DIV/0!</v>
      </c>
      <c r="AK132" s="92"/>
      <c r="AL132" s="180" t="s">
        <v>165</v>
      </c>
      <c r="AM132" s="28" t="s">
        <v>183</v>
      </c>
      <c r="AN132" s="175"/>
      <c r="AO132" s="92"/>
      <c r="AP132" s="92"/>
      <c r="AQ132" s="92"/>
      <c r="AR132" s="92"/>
      <c r="AS132" s="92"/>
      <c r="AT132" s="92"/>
      <c r="AU132" s="92"/>
      <c r="AV132" s="92"/>
      <c r="AW132" s="92"/>
      <c r="AX132" s="92"/>
      <c r="AY132" s="92"/>
      <c r="BB132" s="618">
        <v>95.49999999999935</v>
      </c>
      <c r="BC132" s="619">
        <v>1.02</v>
      </c>
      <c r="BD132" s="619">
        <v>1.02</v>
      </c>
      <c r="BE132" s="618">
        <v>95.49999999999935</v>
      </c>
      <c r="BF132" s="619">
        <v>1.02</v>
      </c>
      <c r="BG132" s="619">
        <v>1.02</v>
      </c>
      <c r="BH132" s="623">
        <f t="shared" si="8"/>
        <v>1.02</v>
      </c>
      <c r="BI132" s="623">
        <f t="shared" si="9"/>
        <v>1.02</v>
      </c>
    </row>
    <row r="133" spans="22:61" ht="12.75">
      <c r="V133" s="185">
        <v>88.2</v>
      </c>
      <c r="W133" s="212" t="s">
        <v>160</v>
      </c>
      <c r="X133" s="212" t="s">
        <v>160</v>
      </c>
      <c r="Y133" s="212" t="s">
        <v>160</v>
      </c>
      <c r="Z133" s="212" t="s">
        <v>160</v>
      </c>
      <c r="AA133" s="212" t="s">
        <v>160</v>
      </c>
      <c r="AB133" s="237" t="s">
        <v>160</v>
      </c>
      <c r="AC133" s="92"/>
      <c r="AD133" s="39"/>
      <c r="AE133" s="144" t="e">
        <f aca="true" t="shared" si="24" ref="AE133:AJ133">IF(AND(AE123&gt;AE132,AE123&lt;AE134),AE123,IF(AND(AE124&gt;AE132,AE124&lt;AE134),AE124,IF(AND(AE125&gt;AE132,AE125&lt;AE134),AE125,IF(AND(AE126&gt;AE132,AE126&lt;AE134),AE126,IF(AND(AE127&gt;AE132,AE127&lt;AE134),AE127,IF(AND(AE128&gt;AE132,AE128&lt;AE134),AE128,IF(AND(AE129&gt;AE132,AE129&lt;AE134),AE129,0)))))))</f>
        <v>#DIV/0!</v>
      </c>
      <c r="AF133" s="134" t="e">
        <f t="shared" si="24"/>
        <v>#DIV/0!</v>
      </c>
      <c r="AG133" s="134" t="e">
        <f t="shared" si="24"/>
        <v>#DIV/0!</v>
      </c>
      <c r="AH133" s="134" t="e">
        <f t="shared" si="24"/>
        <v>#DIV/0!</v>
      </c>
      <c r="AI133" s="134" t="e">
        <f t="shared" si="24"/>
        <v>#DIV/0!</v>
      </c>
      <c r="AJ133" s="145" t="e">
        <f t="shared" si="24"/>
        <v>#DIV/0!</v>
      </c>
      <c r="AK133" s="92"/>
      <c r="AL133" s="180" t="s">
        <v>166</v>
      </c>
      <c r="AM133" s="28" t="s">
        <v>183</v>
      </c>
      <c r="AN133" s="31"/>
      <c r="AO133" s="92"/>
      <c r="AP133" s="92"/>
      <c r="AQ133" s="92"/>
      <c r="AR133" s="92"/>
      <c r="AS133" s="92"/>
      <c r="AT133" s="92"/>
      <c r="AU133" s="92"/>
      <c r="AV133" s="92"/>
      <c r="AW133" s="92"/>
      <c r="AX133" s="92"/>
      <c r="AY133" s="92"/>
      <c r="BB133" s="618">
        <v>95.59999999999934</v>
      </c>
      <c r="BC133" s="619">
        <v>1.02</v>
      </c>
      <c r="BD133" s="619">
        <v>1.02</v>
      </c>
      <c r="BE133" s="618">
        <v>95.59999999999934</v>
      </c>
      <c r="BF133" s="619">
        <v>1.02</v>
      </c>
      <c r="BG133" s="619">
        <v>1.02</v>
      </c>
      <c r="BH133" s="623">
        <f t="shared" si="8"/>
        <v>1.02</v>
      </c>
      <c r="BI133" s="623">
        <f t="shared" si="9"/>
        <v>1.02</v>
      </c>
    </row>
    <row r="134" spans="22:61" ht="12.75">
      <c r="V134" s="185">
        <v>88.3</v>
      </c>
      <c r="W134" s="212" t="s">
        <v>160</v>
      </c>
      <c r="X134" s="212" t="s">
        <v>160</v>
      </c>
      <c r="Y134" s="212" t="s">
        <v>160</v>
      </c>
      <c r="Z134" s="212" t="s">
        <v>160</v>
      </c>
      <c r="AA134" s="212" t="s">
        <v>160</v>
      </c>
      <c r="AB134" s="237" t="s">
        <v>160</v>
      </c>
      <c r="AC134" s="92"/>
      <c r="AD134" s="39"/>
      <c r="AE134" s="144" t="e">
        <f aca="true" t="shared" si="25" ref="AE134:AJ134">MAX(AE123:AE130)</f>
        <v>#DIV/0!</v>
      </c>
      <c r="AF134" s="134" t="e">
        <f t="shared" si="25"/>
        <v>#DIV/0!</v>
      </c>
      <c r="AG134" s="134" t="e">
        <f t="shared" si="25"/>
        <v>#DIV/0!</v>
      </c>
      <c r="AH134" s="134" t="e">
        <f t="shared" si="25"/>
        <v>#DIV/0!</v>
      </c>
      <c r="AI134" s="134" t="e">
        <f t="shared" si="25"/>
        <v>#DIV/0!</v>
      </c>
      <c r="AJ134" s="145" t="e">
        <f t="shared" si="25"/>
        <v>#DIV/0!</v>
      </c>
      <c r="AK134" s="92"/>
      <c r="AL134" s="180" t="s">
        <v>16</v>
      </c>
      <c r="AM134" s="28" t="s">
        <v>183</v>
      </c>
      <c r="AN134" s="31"/>
      <c r="AO134" s="92"/>
      <c r="AP134" s="92"/>
      <c r="AQ134" s="92"/>
      <c r="AR134" s="92"/>
      <c r="AS134" s="92"/>
      <c r="AT134" s="92"/>
      <c r="AU134" s="92"/>
      <c r="AV134" s="92"/>
      <c r="AW134" s="92"/>
      <c r="AX134" s="92"/>
      <c r="AY134" s="92"/>
      <c r="BB134" s="618">
        <v>95.69999999999933</v>
      </c>
      <c r="BC134" s="619">
        <v>1.02</v>
      </c>
      <c r="BD134" s="619">
        <v>1.02</v>
      </c>
      <c r="BE134" s="618">
        <v>95.69999999999933</v>
      </c>
      <c r="BF134" s="619">
        <v>1.02</v>
      </c>
      <c r="BG134" s="619">
        <v>1.02</v>
      </c>
      <c r="BH134" s="623">
        <f t="shared" si="8"/>
        <v>1.02</v>
      </c>
      <c r="BI134" s="623">
        <f t="shared" si="9"/>
        <v>1.02</v>
      </c>
    </row>
    <row r="135" spans="22:61" ht="13.5" thickBot="1">
      <c r="V135" s="185">
        <v>88.4</v>
      </c>
      <c r="W135" s="212" t="s">
        <v>160</v>
      </c>
      <c r="X135" s="212" t="s">
        <v>160</v>
      </c>
      <c r="Y135" s="212" t="s">
        <v>160</v>
      </c>
      <c r="Z135" s="212" t="s">
        <v>160</v>
      </c>
      <c r="AA135" s="212" t="s">
        <v>160</v>
      </c>
      <c r="AB135" s="237" t="s">
        <v>160</v>
      </c>
      <c r="AC135" s="92"/>
      <c r="AD135" s="39"/>
      <c r="AE135" s="149" t="e">
        <f aca="true" t="shared" si="26" ref="AE135:AJ135">MAX(AE122:AE131)</f>
        <v>#N/A</v>
      </c>
      <c r="AF135" s="150" t="e">
        <f t="shared" si="26"/>
        <v>#N/A</v>
      </c>
      <c r="AG135" s="150" t="e">
        <f t="shared" si="26"/>
        <v>#N/A</v>
      </c>
      <c r="AH135" s="150" t="e">
        <f t="shared" si="26"/>
        <v>#N/A</v>
      </c>
      <c r="AI135" s="150" t="e">
        <f t="shared" si="26"/>
        <v>#N/A</v>
      </c>
      <c r="AJ135" s="151" t="e">
        <f t="shared" si="26"/>
        <v>#N/A</v>
      </c>
      <c r="AK135" s="92"/>
      <c r="AL135" s="180" t="s">
        <v>70</v>
      </c>
      <c r="AM135" s="28" t="s">
        <v>183</v>
      </c>
      <c r="AN135" s="216"/>
      <c r="AO135" s="92"/>
      <c r="AP135" s="92"/>
      <c r="AQ135" s="92"/>
      <c r="AR135" s="92"/>
      <c r="AS135" s="92"/>
      <c r="AT135" s="92"/>
      <c r="AU135" s="92"/>
      <c r="AV135" s="92"/>
      <c r="AW135" s="92"/>
      <c r="AX135" s="92"/>
      <c r="AY135" s="92"/>
      <c r="BB135" s="618">
        <v>95.79999999999933</v>
      </c>
      <c r="BC135" s="619">
        <v>1.02</v>
      </c>
      <c r="BD135" s="619">
        <v>1.02</v>
      </c>
      <c r="BE135" s="618">
        <v>95.79999999999933</v>
      </c>
      <c r="BF135" s="619">
        <v>1.02</v>
      </c>
      <c r="BG135" s="619">
        <v>1.02</v>
      </c>
      <c r="BH135" s="623">
        <f aca="true" t="shared" si="27" ref="BH135:BH161">+IF((OR(($AK$87=3),($AK$87=2))),BC135,BF135)</f>
        <v>1.02</v>
      </c>
      <c r="BI135" s="623">
        <f aca="true" t="shared" si="28" ref="BI135:BI161">+IF((OR(($AK$87=3),($AK$87=2))),BD135,BG135)</f>
        <v>1.02</v>
      </c>
    </row>
    <row r="136" spans="22:61" ht="12.75">
      <c r="V136" s="238">
        <v>88.5</v>
      </c>
      <c r="W136" s="180">
        <v>-0.3</v>
      </c>
      <c r="X136" s="212" t="s">
        <v>160</v>
      </c>
      <c r="Y136" s="212" t="s">
        <v>160</v>
      </c>
      <c r="Z136" s="212" t="s">
        <v>160</v>
      </c>
      <c r="AA136" s="212" t="s">
        <v>160</v>
      </c>
      <c r="AB136" s="237" t="s">
        <v>160</v>
      </c>
      <c r="AC136" s="92"/>
      <c r="AD136" s="39"/>
      <c r="AE136" s="141">
        <f aca="true" t="shared" si="29" ref="AE136:AJ136">AE131</f>
        <v>0.01</v>
      </c>
      <c r="AF136" s="142" t="e">
        <f t="shared" si="29"/>
        <v>#N/A</v>
      </c>
      <c r="AG136" s="142" t="e">
        <f t="shared" si="29"/>
        <v>#N/A</v>
      </c>
      <c r="AH136" s="142" t="e">
        <f t="shared" si="29"/>
        <v>#N/A</v>
      </c>
      <c r="AI136" s="142" t="e">
        <f t="shared" si="29"/>
        <v>#N/A</v>
      </c>
      <c r="AJ136" s="143" t="e">
        <f t="shared" si="29"/>
        <v>#N/A</v>
      </c>
      <c r="AK136" s="92"/>
      <c r="AL136" s="217">
        <v>1</v>
      </c>
      <c r="AM136" s="218">
        <f aca="true" t="shared" si="30" ref="AM136:AM158">IF(M23&gt;=0,M23,"")</f>
      </c>
      <c r="AN136" s="39">
        <f aca="true" t="shared" si="31" ref="AN136:AN158">IF(M23&lt;0,M23,"")</f>
      </c>
      <c r="AO136" s="92"/>
      <c r="AP136" s="92"/>
      <c r="AQ136" s="92"/>
      <c r="AR136" s="92"/>
      <c r="AS136" s="92"/>
      <c r="AT136" s="92"/>
      <c r="AU136" s="92"/>
      <c r="AV136" s="92"/>
      <c r="AW136" s="92"/>
      <c r="AX136" s="92"/>
      <c r="AY136" s="92"/>
      <c r="BB136" s="618">
        <v>95.89999999999932</v>
      </c>
      <c r="BC136" s="619">
        <v>1.02</v>
      </c>
      <c r="BD136" s="619">
        <v>1.02</v>
      </c>
      <c r="BE136" s="618">
        <v>95.89999999999932</v>
      </c>
      <c r="BF136" s="619">
        <v>1.02</v>
      </c>
      <c r="BG136" s="619">
        <v>1.02</v>
      </c>
      <c r="BH136" s="623">
        <f t="shared" si="27"/>
        <v>1.02</v>
      </c>
      <c r="BI136" s="623">
        <f t="shared" si="28"/>
        <v>1.02</v>
      </c>
    </row>
    <row r="137" spans="22:61" ht="12.75">
      <c r="V137" s="238">
        <v>88.6</v>
      </c>
      <c r="W137" s="180">
        <v>-0.3</v>
      </c>
      <c r="X137" s="212" t="s">
        <v>160</v>
      </c>
      <c r="Y137" s="212" t="s">
        <v>160</v>
      </c>
      <c r="Z137" s="212" t="s">
        <v>160</v>
      </c>
      <c r="AA137" s="212" t="s">
        <v>160</v>
      </c>
      <c r="AB137" s="237" t="s">
        <v>160</v>
      </c>
      <c r="AC137" s="92"/>
      <c r="AD137" s="39"/>
      <c r="AE137" s="144" t="e">
        <f aca="true" t="shared" si="32" ref="AE137:AJ138">IF(AE132=0,AE133,AE132)</f>
        <v>#DIV/0!</v>
      </c>
      <c r="AF137" s="134" t="e">
        <f t="shared" si="32"/>
        <v>#DIV/0!</v>
      </c>
      <c r="AG137" s="134" t="e">
        <f t="shared" si="32"/>
        <v>#DIV/0!</v>
      </c>
      <c r="AH137" s="134" t="e">
        <f t="shared" si="32"/>
        <v>#DIV/0!</v>
      </c>
      <c r="AI137" s="134" t="e">
        <f t="shared" si="32"/>
        <v>#DIV/0!</v>
      </c>
      <c r="AJ137" s="145" t="e">
        <f t="shared" si="32"/>
        <v>#DIV/0!</v>
      </c>
      <c r="AK137" s="92"/>
      <c r="AL137" s="217"/>
      <c r="AM137" s="218">
        <f t="shared" si="30"/>
      </c>
      <c r="AN137" s="39">
        <f t="shared" si="31"/>
      </c>
      <c r="AO137" s="92"/>
      <c r="AP137" s="92"/>
      <c r="AQ137" s="92"/>
      <c r="AR137" s="92"/>
      <c r="AS137" s="92"/>
      <c r="AT137" s="92"/>
      <c r="AU137" s="92"/>
      <c r="AV137" s="92"/>
      <c r="AW137" s="92"/>
      <c r="AX137" s="92"/>
      <c r="AY137" s="92"/>
      <c r="BB137" s="618">
        <v>95.99999999999932</v>
      </c>
      <c r="BC137" s="619">
        <v>1.02</v>
      </c>
      <c r="BD137" s="619">
        <v>1.02</v>
      </c>
      <c r="BE137" s="618">
        <v>95.99999999999932</v>
      </c>
      <c r="BF137" s="619">
        <v>1.02</v>
      </c>
      <c r="BG137" s="619">
        <v>1.02</v>
      </c>
      <c r="BH137" s="623">
        <f t="shared" si="27"/>
        <v>1.02</v>
      </c>
      <c r="BI137" s="623">
        <f t="shared" si="28"/>
        <v>1.02</v>
      </c>
    </row>
    <row r="138" spans="22:61" ht="12.75">
      <c r="V138" s="238">
        <v>88.7</v>
      </c>
      <c r="W138" s="180">
        <v>-0.3</v>
      </c>
      <c r="X138" s="212" t="s">
        <v>160</v>
      </c>
      <c r="Y138" s="212" t="s">
        <v>160</v>
      </c>
      <c r="Z138" s="212" t="s">
        <v>160</v>
      </c>
      <c r="AA138" s="212" t="s">
        <v>160</v>
      </c>
      <c r="AB138" s="237" t="s">
        <v>160</v>
      </c>
      <c r="AC138" s="92"/>
      <c r="AD138" s="39"/>
      <c r="AE138" s="144" t="e">
        <f t="shared" si="32"/>
        <v>#DIV/0!</v>
      </c>
      <c r="AF138" s="134" t="e">
        <f t="shared" si="32"/>
        <v>#DIV/0!</v>
      </c>
      <c r="AG138" s="134" t="e">
        <f t="shared" si="32"/>
        <v>#DIV/0!</v>
      </c>
      <c r="AH138" s="134" t="e">
        <f t="shared" si="32"/>
        <v>#DIV/0!</v>
      </c>
      <c r="AI138" s="134" t="e">
        <f t="shared" si="32"/>
        <v>#DIV/0!</v>
      </c>
      <c r="AJ138" s="145" t="e">
        <f t="shared" si="32"/>
        <v>#DIV/0!</v>
      </c>
      <c r="AK138" s="92"/>
      <c r="AL138" s="217"/>
      <c r="AM138" s="218">
        <f t="shared" si="30"/>
      </c>
      <c r="AN138" s="39">
        <f t="shared" si="31"/>
      </c>
      <c r="AO138" s="92"/>
      <c r="AP138" s="92"/>
      <c r="AQ138" s="92"/>
      <c r="AR138" s="92"/>
      <c r="AS138" s="92"/>
      <c r="AT138" s="92"/>
      <c r="AU138" s="92"/>
      <c r="AV138" s="92"/>
      <c r="AW138" s="92"/>
      <c r="AX138" s="92"/>
      <c r="AY138" s="92"/>
      <c r="BB138" s="618">
        <v>96.09999999999931</v>
      </c>
      <c r="BC138" s="619">
        <v>1.02</v>
      </c>
      <c r="BD138" s="619">
        <v>1.02</v>
      </c>
      <c r="BE138" s="618">
        <v>96.09999999999931</v>
      </c>
      <c r="BF138" s="619">
        <v>1.02</v>
      </c>
      <c r="BG138" s="619">
        <v>1.02</v>
      </c>
      <c r="BH138" s="623">
        <f t="shared" si="27"/>
        <v>1.02</v>
      </c>
      <c r="BI138" s="623">
        <f t="shared" si="28"/>
        <v>1.02</v>
      </c>
    </row>
    <row r="139" spans="22:61" ht="12.75">
      <c r="V139" s="238">
        <v>88.8</v>
      </c>
      <c r="W139" s="180">
        <v>-0.3</v>
      </c>
      <c r="X139" s="212" t="s">
        <v>160</v>
      </c>
      <c r="Y139" s="212" t="s">
        <v>160</v>
      </c>
      <c r="Z139" s="212" t="s">
        <v>160</v>
      </c>
      <c r="AA139" s="212" t="s">
        <v>160</v>
      </c>
      <c r="AB139" s="237" t="s">
        <v>160</v>
      </c>
      <c r="AC139" s="92"/>
      <c r="AD139" s="39"/>
      <c r="AE139" s="144" t="e">
        <f aca="true" t="shared" si="33" ref="AE139:AJ139">IF(AE134=AE132,AE135,AE134)</f>
        <v>#DIV/0!</v>
      </c>
      <c r="AF139" s="134" t="e">
        <f t="shared" si="33"/>
        <v>#DIV/0!</v>
      </c>
      <c r="AG139" s="134" t="e">
        <f t="shared" si="33"/>
        <v>#DIV/0!</v>
      </c>
      <c r="AH139" s="134" t="e">
        <f t="shared" si="33"/>
        <v>#DIV/0!</v>
      </c>
      <c r="AI139" s="134" t="e">
        <f t="shared" si="33"/>
        <v>#DIV/0!</v>
      </c>
      <c r="AJ139" s="145" t="e">
        <f t="shared" si="33"/>
        <v>#DIV/0!</v>
      </c>
      <c r="AK139" s="92"/>
      <c r="AL139" s="217"/>
      <c r="AM139" s="218">
        <f t="shared" si="30"/>
      </c>
      <c r="AN139" s="39">
        <f t="shared" si="31"/>
      </c>
      <c r="AO139" s="92"/>
      <c r="AP139" s="92"/>
      <c r="AQ139" s="92"/>
      <c r="AR139" s="92"/>
      <c r="AS139" s="92"/>
      <c r="AT139" s="92"/>
      <c r="AU139" s="92"/>
      <c r="AV139" s="92"/>
      <c r="AW139" s="92"/>
      <c r="AX139" s="92"/>
      <c r="AY139" s="92"/>
      <c r="BB139" s="618">
        <v>96.1999999999993</v>
      </c>
      <c r="BC139" s="619">
        <v>1.02</v>
      </c>
      <c r="BD139" s="619">
        <v>1.02</v>
      </c>
      <c r="BE139" s="618">
        <v>96.1999999999993</v>
      </c>
      <c r="BF139" s="619">
        <v>1.02</v>
      </c>
      <c r="BG139" s="619">
        <v>1.02</v>
      </c>
      <c r="BH139" s="623">
        <f t="shared" si="27"/>
        <v>1.02</v>
      </c>
      <c r="BI139" s="623">
        <f t="shared" si="28"/>
        <v>1.02</v>
      </c>
    </row>
    <row r="140" spans="22:61" ht="13.5" thickBot="1">
      <c r="V140" s="185">
        <v>88.9</v>
      </c>
      <c r="W140" s="180">
        <v>-0.3</v>
      </c>
      <c r="X140" s="212" t="s">
        <v>160</v>
      </c>
      <c r="Y140" s="212" t="s">
        <v>160</v>
      </c>
      <c r="Z140" s="212" t="s">
        <v>160</v>
      </c>
      <c r="AA140" s="212" t="s">
        <v>160</v>
      </c>
      <c r="AB140" s="237" t="s">
        <v>160</v>
      </c>
      <c r="AC140" s="92"/>
      <c r="AD140" s="59"/>
      <c r="AE140" s="152" t="e">
        <f aca="true" t="shared" si="34" ref="AE140:AJ140">IF(AE135&gt;AE139,AE135,"")</f>
        <v>#N/A</v>
      </c>
      <c r="AF140" s="153" t="e">
        <f t="shared" si="34"/>
        <v>#N/A</v>
      </c>
      <c r="AG140" s="153" t="e">
        <f t="shared" si="34"/>
        <v>#N/A</v>
      </c>
      <c r="AH140" s="153" t="e">
        <f t="shared" si="34"/>
        <v>#N/A</v>
      </c>
      <c r="AI140" s="153" t="e">
        <f t="shared" si="34"/>
        <v>#N/A</v>
      </c>
      <c r="AJ140" s="154" t="e">
        <f t="shared" si="34"/>
        <v>#N/A</v>
      </c>
      <c r="AK140" s="92"/>
      <c r="AL140" s="217">
        <v>2</v>
      </c>
      <c r="AM140" s="218" t="e">
        <f t="shared" si="30"/>
        <v>#N/A</v>
      </c>
      <c r="AN140" s="39" t="e">
        <f t="shared" si="31"/>
        <v>#N/A</v>
      </c>
      <c r="AO140" s="92"/>
      <c r="AP140" s="92"/>
      <c r="AQ140" s="92"/>
      <c r="AR140" s="92"/>
      <c r="AS140" s="92"/>
      <c r="AT140" s="92"/>
      <c r="AU140" s="92"/>
      <c r="AV140" s="92"/>
      <c r="AW140" s="92"/>
      <c r="AX140" s="92"/>
      <c r="AY140" s="92"/>
      <c r="BB140" s="618">
        <v>96.2999999999993</v>
      </c>
      <c r="BC140" s="619">
        <v>1.02</v>
      </c>
      <c r="BD140" s="619">
        <v>1.02</v>
      </c>
      <c r="BE140" s="618">
        <v>96.2999999999993</v>
      </c>
      <c r="BF140" s="619">
        <v>1.02</v>
      </c>
      <c r="BG140" s="619">
        <v>1.02</v>
      </c>
      <c r="BH140" s="623">
        <f t="shared" si="27"/>
        <v>1.02</v>
      </c>
      <c r="BI140" s="623">
        <f t="shared" si="28"/>
        <v>1.02</v>
      </c>
    </row>
    <row r="141" spans="22:61" ht="12.75">
      <c r="V141" s="238">
        <v>89</v>
      </c>
      <c r="W141" s="180">
        <v>-0.15</v>
      </c>
      <c r="X141" s="180">
        <v>-0.3</v>
      </c>
      <c r="Y141" s="180">
        <v>-0.3</v>
      </c>
      <c r="Z141" s="181">
        <v>-0.3</v>
      </c>
      <c r="AA141" s="212" t="s">
        <v>160</v>
      </c>
      <c r="AB141" s="186">
        <v>-0.3</v>
      </c>
      <c r="AC141" s="92"/>
      <c r="AD141" s="59"/>
      <c r="AE141" s="141">
        <f aca="true" t="shared" si="35" ref="AE141:AJ141">AE136</f>
        <v>0.01</v>
      </c>
      <c r="AF141" s="142" t="e">
        <f t="shared" si="35"/>
        <v>#N/A</v>
      </c>
      <c r="AG141" s="142" t="e">
        <f t="shared" si="35"/>
        <v>#N/A</v>
      </c>
      <c r="AH141" s="142" t="e">
        <f t="shared" si="35"/>
        <v>#N/A</v>
      </c>
      <c r="AI141" s="142" t="e">
        <f t="shared" si="35"/>
        <v>#N/A</v>
      </c>
      <c r="AJ141" s="143" t="e">
        <f t="shared" si="35"/>
        <v>#N/A</v>
      </c>
      <c r="AK141" s="92"/>
      <c r="AL141" s="217"/>
      <c r="AM141" s="218" t="e">
        <f t="shared" si="30"/>
        <v>#N/A</v>
      </c>
      <c r="AN141" s="39" t="e">
        <f t="shared" si="31"/>
        <v>#N/A</v>
      </c>
      <c r="AO141" s="92"/>
      <c r="AP141" s="92"/>
      <c r="AQ141" s="92"/>
      <c r="AR141" s="92"/>
      <c r="AS141" s="92"/>
      <c r="AT141" s="92"/>
      <c r="AU141" s="92"/>
      <c r="AV141" s="92"/>
      <c r="AW141" s="92"/>
      <c r="AX141" s="92"/>
      <c r="AY141" s="92"/>
      <c r="BB141" s="618">
        <v>96.3999999999993</v>
      </c>
      <c r="BC141" s="619">
        <v>1.02</v>
      </c>
      <c r="BD141" s="619">
        <v>1.02</v>
      </c>
      <c r="BE141" s="618">
        <v>96.3999999999993</v>
      </c>
      <c r="BF141" s="619">
        <v>1.02</v>
      </c>
      <c r="BG141" s="619">
        <v>1.02</v>
      </c>
      <c r="BH141" s="623">
        <f t="shared" si="27"/>
        <v>1.02</v>
      </c>
      <c r="BI141" s="623">
        <f t="shared" si="28"/>
        <v>1.02</v>
      </c>
    </row>
    <row r="142" spans="22:61" ht="12.75">
      <c r="V142" s="238">
        <v>89.1</v>
      </c>
      <c r="W142" s="180">
        <v>-0.15</v>
      </c>
      <c r="X142" s="180">
        <v>-0.3</v>
      </c>
      <c r="Y142" s="180">
        <v>-0.3</v>
      </c>
      <c r="Z142" s="181">
        <v>-0.3</v>
      </c>
      <c r="AA142" s="212" t="s">
        <v>160</v>
      </c>
      <c r="AB142" s="186">
        <v>-0.3</v>
      </c>
      <c r="AC142" s="92"/>
      <c r="AD142" s="197"/>
      <c r="AE142" s="144" t="e">
        <f aca="true" t="shared" si="36" ref="AE142:AJ145">IF(AE137=0,AE138,AE137)</f>
        <v>#DIV/0!</v>
      </c>
      <c r="AF142" s="134" t="e">
        <f t="shared" si="36"/>
        <v>#DIV/0!</v>
      </c>
      <c r="AG142" s="134" t="e">
        <f t="shared" si="36"/>
        <v>#DIV/0!</v>
      </c>
      <c r="AH142" s="134" t="e">
        <f t="shared" si="36"/>
        <v>#DIV/0!</v>
      </c>
      <c r="AI142" s="134" t="e">
        <f t="shared" si="36"/>
        <v>#DIV/0!</v>
      </c>
      <c r="AJ142" s="145" t="e">
        <f t="shared" si="36"/>
        <v>#DIV/0!</v>
      </c>
      <c r="AK142" s="92"/>
      <c r="AL142" s="217"/>
      <c r="AM142" s="218" t="e">
        <f t="shared" si="30"/>
        <v>#N/A</v>
      </c>
      <c r="AN142" s="39" t="e">
        <f t="shared" si="31"/>
        <v>#N/A</v>
      </c>
      <c r="AO142" s="92"/>
      <c r="AP142" s="92"/>
      <c r="AQ142" s="92"/>
      <c r="AR142" s="92"/>
      <c r="AS142" s="92"/>
      <c r="AT142" s="92"/>
      <c r="AU142" s="92"/>
      <c r="AV142" s="92"/>
      <c r="AW142" s="92"/>
      <c r="AX142" s="92"/>
      <c r="AY142" s="92"/>
      <c r="BB142" s="618">
        <v>96.49999999999929</v>
      </c>
      <c r="BC142" s="619">
        <v>1.02</v>
      </c>
      <c r="BD142" s="619">
        <v>1.02</v>
      </c>
      <c r="BE142" s="618">
        <v>96.49999999999929</v>
      </c>
      <c r="BF142" s="619">
        <v>1.02</v>
      </c>
      <c r="BG142" s="619">
        <v>1.02</v>
      </c>
      <c r="BH142" s="623">
        <f t="shared" si="27"/>
        <v>1.02</v>
      </c>
      <c r="BI142" s="623">
        <f t="shared" si="28"/>
        <v>1.02</v>
      </c>
    </row>
    <row r="143" spans="22:61" ht="12.75">
      <c r="V143" s="238">
        <v>89.2</v>
      </c>
      <c r="W143" s="180">
        <v>-0.15</v>
      </c>
      <c r="X143" s="180">
        <v>-0.3</v>
      </c>
      <c r="Y143" s="180">
        <v>-0.15</v>
      </c>
      <c r="Z143" s="181">
        <v>-0.3</v>
      </c>
      <c r="AA143" s="212" t="s">
        <v>160</v>
      </c>
      <c r="AB143" s="186">
        <v>-0.3</v>
      </c>
      <c r="AC143" s="92"/>
      <c r="AD143" s="197"/>
      <c r="AE143" s="144" t="e">
        <f t="shared" si="36"/>
        <v>#DIV/0!</v>
      </c>
      <c r="AF143" s="134" t="e">
        <f t="shared" si="36"/>
        <v>#DIV/0!</v>
      </c>
      <c r="AG143" s="134" t="e">
        <f t="shared" si="36"/>
        <v>#DIV/0!</v>
      </c>
      <c r="AH143" s="134" t="e">
        <f t="shared" si="36"/>
        <v>#DIV/0!</v>
      </c>
      <c r="AI143" s="134" t="e">
        <f t="shared" si="36"/>
        <v>#DIV/0!</v>
      </c>
      <c r="AJ143" s="145" t="e">
        <f t="shared" si="36"/>
        <v>#DIV/0!</v>
      </c>
      <c r="AK143" s="92"/>
      <c r="AL143" s="217"/>
      <c r="AM143" s="218" t="e">
        <f t="shared" si="30"/>
        <v>#N/A</v>
      </c>
      <c r="AN143" s="39" t="e">
        <f t="shared" si="31"/>
        <v>#N/A</v>
      </c>
      <c r="AO143" s="92"/>
      <c r="AP143" s="92"/>
      <c r="AQ143" s="92"/>
      <c r="AR143" s="92"/>
      <c r="AS143" s="92"/>
      <c r="AT143" s="92"/>
      <c r="AU143" s="92"/>
      <c r="AV143" s="92"/>
      <c r="AW143" s="92"/>
      <c r="AX143" s="92"/>
      <c r="AY143" s="92"/>
      <c r="BB143" s="618">
        <v>96.59999999999928</v>
      </c>
      <c r="BC143" s="619">
        <v>1.02</v>
      </c>
      <c r="BD143" s="619">
        <v>1.02</v>
      </c>
      <c r="BE143" s="618">
        <v>96.59999999999928</v>
      </c>
      <c r="BF143" s="619">
        <v>1.02</v>
      </c>
      <c r="BG143" s="619">
        <v>1.02</v>
      </c>
      <c r="BH143" s="623">
        <f t="shared" si="27"/>
        <v>1.02</v>
      </c>
      <c r="BI143" s="623">
        <f t="shared" si="28"/>
        <v>1.02</v>
      </c>
    </row>
    <row r="144" spans="22:61" ht="12.75">
      <c r="V144" s="238">
        <v>89.3</v>
      </c>
      <c r="W144" s="180">
        <v>-0.15</v>
      </c>
      <c r="X144" s="180">
        <v>-0.3</v>
      </c>
      <c r="Y144" s="180">
        <v>-0.15</v>
      </c>
      <c r="Z144" s="181">
        <v>-0.3</v>
      </c>
      <c r="AA144" s="212" t="s">
        <v>160</v>
      </c>
      <c r="AB144" s="186">
        <v>-0.3</v>
      </c>
      <c r="AC144" s="92"/>
      <c r="AD144" s="197"/>
      <c r="AE144" s="144" t="e">
        <f t="shared" si="36"/>
        <v>#DIV/0!</v>
      </c>
      <c r="AF144" s="134" t="e">
        <f t="shared" si="36"/>
        <v>#DIV/0!</v>
      </c>
      <c r="AG144" s="134" t="e">
        <f t="shared" si="36"/>
        <v>#DIV/0!</v>
      </c>
      <c r="AH144" s="134" t="e">
        <f t="shared" si="36"/>
        <v>#DIV/0!</v>
      </c>
      <c r="AI144" s="134" t="e">
        <f t="shared" si="36"/>
        <v>#DIV/0!</v>
      </c>
      <c r="AJ144" s="145" t="e">
        <f t="shared" si="36"/>
        <v>#DIV/0!</v>
      </c>
      <c r="AK144" s="92"/>
      <c r="AL144" s="217">
        <v>3</v>
      </c>
      <c r="AM144" s="218" t="e">
        <f t="shared" si="30"/>
        <v>#N/A</v>
      </c>
      <c r="AN144" s="39" t="e">
        <f t="shared" si="31"/>
        <v>#N/A</v>
      </c>
      <c r="AO144" s="92"/>
      <c r="AP144" s="92"/>
      <c r="AQ144" s="92"/>
      <c r="AR144" s="92"/>
      <c r="AS144" s="92"/>
      <c r="AT144" s="92"/>
      <c r="AU144" s="92"/>
      <c r="AV144" s="92"/>
      <c r="AW144" s="92"/>
      <c r="AX144" s="92"/>
      <c r="AY144" s="92"/>
      <c r="BB144" s="618">
        <v>96.69999999999928</v>
      </c>
      <c r="BC144" s="619">
        <v>1.02</v>
      </c>
      <c r="BD144" s="619">
        <v>1.02</v>
      </c>
      <c r="BE144" s="618">
        <v>96.69999999999928</v>
      </c>
      <c r="BF144" s="619">
        <v>1.02</v>
      </c>
      <c r="BG144" s="619">
        <v>1.02</v>
      </c>
      <c r="BH144" s="623">
        <f t="shared" si="27"/>
        <v>1.02</v>
      </c>
      <c r="BI144" s="623">
        <f t="shared" si="28"/>
        <v>1.02</v>
      </c>
    </row>
    <row r="145" spans="22:61" ht="13.5" thickBot="1">
      <c r="V145" s="185">
        <v>89.4</v>
      </c>
      <c r="W145" s="180">
        <v>-0.15</v>
      </c>
      <c r="X145" s="180">
        <v>-0.3</v>
      </c>
      <c r="Y145" s="180">
        <v>-0.09</v>
      </c>
      <c r="Z145" s="181">
        <v>-0.3</v>
      </c>
      <c r="AA145" s="212" t="s">
        <v>160</v>
      </c>
      <c r="AB145" s="186">
        <v>-0.3</v>
      </c>
      <c r="AC145" s="92"/>
      <c r="AD145" s="197"/>
      <c r="AE145" s="149" t="e">
        <f t="shared" si="36"/>
        <v>#N/A</v>
      </c>
      <c r="AF145" s="150" t="e">
        <f t="shared" si="36"/>
        <v>#N/A</v>
      </c>
      <c r="AG145" s="150" t="e">
        <f t="shared" si="36"/>
        <v>#N/A</v>
      </c>
      <c r="AH145" s="150" t="e">
        <f t="shared" si="36"/>
        <v>#N/A</v>
      </c>
      <c r="AI145" s="150" t="e">
        <f t="shared" si="36"/>
        <v>#N/A</v>
      </c>
      <c r="AJ145" s="151" t="e">
        <f t="shared" si="36"/>
        <v>#N/A</v>
      </c>
      <c r="AK145" s="92"/>
      <c r="AL145" s="217"/>
      <c r="AM145" s="218" t="e">
        <f t="shared" si="30"/>
        <v>#N/A</v>
      </c>
      <c r="AN145" s="39" t="e">
        <f t="shared" si="31"/>
        <v>#N/A</v>
      </c>
      <c r="AO145" s="92"/>
      <c r="AP145" s="92"/>
      <c r="AQ145" s="92"/>
      <c r="AR145" s="92"/>
      <c r="AS145" s="92"/>
      <c r="AT145" s="92"/>
      <c r="AU145" s="92"/>
      <c r="AV145" s="92"/>
      <c r="AW145" s="92"/>
      <c r="AX145" s="92"/>
      <c r="AY145" s="92"/>
      <c r="BB145" s="620">
        <v>96.79999999999927</v>
      </c>
      <c r="BC145" s="619">
        <v>1.02</v>
      </c>
      <c r="BD145" s="619">
        <v>1.02</v>
      </c>
      <c r="BE145" s="620">
        <v>96.79999999999927</v>
      </c>
      <c r="BF145" s="619">
        <v>1.02</v>
      </c>
      <c r="BG145" s="619">
        <v>1.02</v>
      </c>
      <c r="BH145" s="623">
        <f t="shared" si="27"/>
        <v>1.02</v>
      </c>
      <c r="BI145" s="623">
        <f t="shared" si="28"/>
        <v>1.02</v>
      </c>
    </row>
    <row r="146" spans="22:61" ht="12.75">
      <c r="V146" s="185">
        <v>89.5</v>
      </c>
      <c r="W146" s="180">
        <v>-0.09</v>
      </c>
      <c r="X146" s="180">
        <v>-0.15</v>
      </c>
      <c r="Y146" s="180">
        <v>-0.09</v>
      </c>
      <c r="Z146" s="181">
        <v>-0.15</v>
      </c>
      <c r="AA146" s="212" t="s">
        <v>160</v>
      </c>
      <c r="AB146" s="186">
        <v>-0.15</v>
      </c>
      <c r="AC146" s="92"/>
      <c r="AD146" s="197"/>
      <c r="AE146" s="141">
        <f aca="true" t="shared" si="37" ref="AE146:AJ146">AE141</f>
        <v>0.01</v>
      </c>
      <c r="AF146" s="142" t="e">
        <f t="shared" si="37"/>
        <v>#N/A</v>
      </c>
      <c r="AG146" s="142" t="e">
        <f t="shared" si="37"/>
        <v>#N/A</v>
      </c>
      <c r="AH146" s="142" t="e">
        <f t="shared" si="37"/>
        <v>#N/A</v>
      </c>
      <c r="AI146" s="142" t="e">
        <f t="shared" si="37"/>
        <v>#N/A</v>
      </c>
      <c r="AJ146" s="143" t="e">
        <f t="shared" si="37"/>
        <v>#N/A</v>
      </c>
      <c r="AK146" s="92"/>
      <c r="AL146" s="217"/>
      <c r="AM146" s="218" t="e">
        <f t="shared" si="30"/>
        <v>#N/A</v>
      </c>
      <c r="AN146" s="39" t="e">
        <f t="shared" si="31"/>
        <v>#N/A</v>
      </c>
      <c r="AO146" s="92"/>
      <c r="AP146" s="92"/>
      <c r="AQ146" s="92"/>
      <c r="AR146" s="92"/>
      <c r="AS146" s="92"/>
      <c r="AT146" s="92"/>
      <c r="AU146" s="92"/>
      <c r="AV146" s="92"/>
      <c r="AW146" s="92"/>
      <c r="AX146" s="92"/>
      <c r="AY146" s="92"/>
      <c r="BB146" s="620">
        <v>96.89999999999927</v>
      </c>
      <c r="BC146" s="619">
        <v>1.02</v>
      </c>
      <c r="BD146" s="619">
        <v>1.02</v>
      </c>
      <c r="BE146" s="620">
        <v>96.89999999999927</v>
      </c>
      <c r="BF146" s="619">
        <v>1.02</v>
      </c>
      <c r="BG146" s="619">
        <v>1.02</v>
      </c>
      <c r="BH146" s="623">
        <f t="shared" si="27"/>
        <v>1.02</v>
      </c>
      <c r="BI146" s="623">
        <f t="shared" si="28"/>
        <v>1.02</v>
      </c>
    </row>
    <row r="147" spans="22:61" ht="12.75">
      <c r="V147" s="185">
        <v>89.6</v>
      </c>
      <c r="W147" s="180">
        <v>-0.09</v>
      </c>
      <c r="X147" s="180">
        <v>-0.15</v>
      </c>
      <c r="Y147" s="180">
        <v>-0.09</v>
      </c>
      <c r="Z147" s="181">
        <v>-0.15</v>
      </c>
      <c r="AA147" s="212" t="s">
        <v>160</v>
      </c>
      <c r="AB147" s="186">
        <v>-0.15</v>
      </c>
      <c r="AC147" s="92"/>
      <c r="AD147" s="197"/>
      <c r="AE147" s="144" t="e">
        <f aca="true" t="shared" si="38" ref="AE147:AJ150">IF(AE142=0,AE143,AE142)</f>
        <v>#DIV/0!</v>
      </c>
      <c r="AF147" s="134" t="e">
        <f t="shared" si="38"/>
        <v>#DIV/0!</v>
      </c>
      <c r="AG147" s="134" t="e">
        <f t="shared" si="38"/>
        <v>#DIV/0!</v>
      </c>
      <c r="AH147" s="134" t="e">
        <f t="shared" si="38"/>
        <v>#DIV/0!</v>
      </c>
      <c r="AI147" s="134" t="e">
        <f t="shared" si="38"/>
        <v>#DIV/0!</v>
      </c>
      <c r="AJ147" s="145" t="e">
        <f t="shared" si="38"/>
        <v>#DIV/0!</v>
      </c>
      <c r="AK147" s="92"/>
      <c r="AL147" s="217"/>
      <c r="AM147" s="218" t="e">
        <f t="shared" si="30"/>
        <v>#N/A</v>
      </c>
      <c r="AN147" s="39" t="e">
        <f t="shared" si="31"/>
        <v>#N/A</v>
      </c>
      <c r="AO147" s="92"/>
      <c r="AP147" s="92"/>
      <c r="AQ147" s="92"/>
      <c r="AR147" s="92"/>
      <c r="AS147" s="92"/>
      <c r="AT147" s="92"/>
      <c r="AU147" s="92"/>
      <c r="AV147" s="92"/>
      <c r="AW147" s="92"/>
      <c r="AX147" s="92"/>
      <c r="AY147" s="92"/>
      <c r="BB147" s="620">
        <v>96.99999999999926</v>
      </c>
      <c r="BC147" s="619">
        <v>1.02</v>
      </c>
      <c r="BD147" s="619">
        <v>1.02</v>
      </c>
      <c r="BE147" s="620">
        <v>96.99999999999926</v>
      </c>
      <c r="BF147" s="619">
        <v>1.02</v>
      </c>
      <c r="BG147" s="619">
        <v>1.02</v>
      </c>
      <c r="BH147" s="623">
        <f t="shared" si="27"/>
        <v>1.02</v>
      </c>
      <c r="BI147" s="623">
        <f t="shared" si="28"/>
        <v>1.02</v>
      </c>
    </row>
    <row r="148" spans="22:61" ht="12.75">
      <c r="V148" s="185">
        <v>89.7</v>
      </c>
      <c r="W148" s="180">
        <v>-0.09</v>
      </c>
      <c r="X148" s="180">
        <v>-0.15</v>
      </c>
      <c r="Y148" s="180">
        <v>-0.05</v>
      </c>
      <c r="Z148" s="181">
        <v>-0.15</v>
      </c>
      <c r="AA148" s="212" t="s">
        <v>160</v>
      </c>
      <c r="AB148" s="186">
        <v>-0.15</v>
      </c>
      <c r="AC148" s="92"/>
      <c r="AD148" s="197"/>
      <c r="AE148" s="144" t="e">
        <f t="shared" si="38"/>
        <v>#DIV/0!</v>
      </c>
      <c r="AF148" s="134" t="e">
        <f t="shared" si="38"/>
        <v>#DIV/0!</v>
      </c>
      <c r="AG148" s="134" t="e">
        <f t="shared" si="38"/>
        <v>#DIV/0!</v>
      </c>
      <c r="AH148" s="134" t="e">
        <f t="shared" si="38"/>
        <v>#DIV/0!</v>
      </c>
      <c r="AI148" s="134" t="e">
        <f t="shared" si="38"/>
        <v>#DIV/0!</v>
      </c>
      <c r="AJ148" s="145" t="e">
        <f t="shared" si="38"/>
        <v>#DIV/0!</v>
      </c>
      <c r="AK148" s="92"/>
      <c r="AL148" s="217">
        <v>4</v>
      </c>
      <c r="AM148" s="218" t="e">
        <f t="shared" si="30"/>
        <v>#N/A</v>
      </c>
      <c r="AN148" s="39" t="e">
        <f t="shared" si="31"/>
        <v>#N/A</v>
      </c>
      <c r="AO148" s="92"/>
      <c r="AP148" s="92"/>
      <c r="AQ148" s="92"/>
      <c r="AR148" s="92"/>
      <c r="AS148" s="92"/>
      <c r="AT148" s="92"/>
      <c r="AU148" s="92"/>
      <c r="AV148" s="92"/>
      <c r="AW148" s="92"/>
      <c r="AX148" s="92"/>
      <c r="AY148" s="92"/>
      <c r="BB148" s="620">
        <v>97.09999999999926</v>
      </c>
      <c r="BC148" s="619">
        <v>1.02</v>
      </c>
      <c r="BD148" s="619">
        <v>1.02</v>
      </c>
      <c r="BE148" s="620">
        <v>97.09999999999926</v>
      </c>
      <c r="BF148" s="619">
        <v>1.02</v>
      </c>
      <c r="BG148" s="619">
        <v>1.02</v>
      </c>
      <c r="BH148" s="623">
        <f t="shared" si="27"/>
        <v>1.02</v>
      </c>
      <c r="BI148" s="623">
        <f t="shared" si="28"/>
        <v>1.02</v>
      </c>
    </row>
    <row r="149" spans="22:61" ht="12.75">
      <c r="V149" s="185">
        <v>89.8</v>
      </c>
      <c r="W149" s="180">
        <v>-0.09</v>
      </c>
      <c r="X149" s="180">
        <v>-0.15</v>
      </c>
      <c r="Y149" s="180">
        <v>-0.05</v>
      </c>
      <c r="Z149" s="181">
        <v>-0.15</v>
      </c>
      <c r="AA149" s="212" t="s">
        <v>160</v>
      </c>
      <c r="AB149" s="186">
        <v>-0.15</v>
      </c>
      <c r="AC149" s="92"/>
      <c r="AD149" s="197"/>
      <c r="AE149" s="144" t="e">
        <f t="shared" si="38"/>
        <v>#DIV/0!</v>
      </c>
      <c r="AF149" s="134" t="e">
        <f t="shared" si="38"/>
        <v>#DIV/0!</v>
      </c>
      <c r="AG149" s="134" t="e">
        <f t="shared" si="38"/>
        <v>#DIV/0!</v>
      </c>
      <c r="AH149" s="134" t="e">
        <f t="shared" si="38"/>
        <v>#DIV/0!</v>
      </c>
      <c r="AI149" s="134" t="e">
        <f t="shared" si="38"/>
        <v>#DIV/0!</v>
      </c>
      <c r="AJ149" s="145" t="e">
        <f t="shared" si="38"/>
        <v>#DIV/0!</v>
      </c>
      <c r="AK149" s="92"/>
      <c r="AL149" s="217"/>
      <c r="AM149" s="218" t="e">
        <f t="shared" si="30"/>
        <v>#N/A</v>
      </c>
      <c r="AN149" s="39" t="e">
        <f t="shared" si="31"/>
        <v>#N/A</v>
      </c>
      <c r="AO149" s="92"/>
      <c r="AP149" s="92"/>
      <c r="AQ149" s="92"/>
      <c r="AR149" s="92"/>
      <c r="AS149" s="92"/>
      <c r="AT149" s="92"/>
      <c r="AU149" s="92"/>
      <c r="AV149" s="92"/>
      <c r="AW149" s="92"/>
      <c r="AX149" s="92"/>
      <c r="AY149" s="92"/>
      <c r="BB149" s="620">
        <v>97.19999999999925</v>
      </c>
      <c r="BC149" s="619">
        <v>1.02</v>
      </c>
      <c r="BD149" s="619">
        <v>1.02</v>
      </c>
      <c r="BE149" s="620">
        <v>97.19999999999925</v>
      </c>
      <c r="BF149" s="619">
        <v>1.02</v>
      </c>
      <c r="BG149" s="619">
        <v>1.02</v>
      </c>
      <c r="BH149" s="623">
        <f t="shared" si="27"/>
        <v>1.02</v>
      </c>
      <c r="BI149" s="623">
        <f t="shared" si="28"/>
        <v>1.02</v>
      </c>
    </row>
    <row r="150" spans="22:61" ht="13.5" thickBot="1">
      <c r="V150" s="185">
        <v>89.9</v>
      </c>
      <c r="W150" s="180">
        <v>-0.09</v>
      </c>
      <c r="X150" s="180">
        <v>-0.15</v>
      </c>
      <c r="Y150" s="180">
        <v>-0.05</v>
      </c>
      <c r="Z150" s="181">
        <v>-0.15</v>
      </c>
      <c r="AA150" s="212" t="s">
        <v>160</v>
      </c>
      <c r="AB150" s="186">
        <v>-0.15</v>
      </c>
      <c r="AC150" s="92"/>
      <c r="AD150" s="197"/>
      <c r="AE150" s="149" t="e">
        <f t="shared" si="38"/>
        <v>#N/A</v>
      </c>
      <c r="AF150" s="150" t="e">
        <f t="shared" si="38"/>
        <v>#N/A</v>
      </c>
      <c r="AG150" s="150" t="e">
        <f t="shared" si="38"/>
        <v>#N/A</v>
      </c>
      <c r="AH150" s="150" t="e">
        <f t="shared" si="38"/>
        <v>#N/A</v>
      </c>
      <c r="AI150" s="150" t="e">
        <f t="shared" si="38"/>
        <v>#N/A</v>
      </c>
      <c r="AJ150" s="151" t="e">
        <f t="shared" si="38"/>
        <v>#N/A</v>
      </c>
      <c r="AK150" s="92"/>
      <c r="AL150" s="217"/>
      <c r="AM150" s="218" t="e">
        <f t="shared" si="30"/>
        <v>#N/A</v>
      </c>
      <c r="AN150" s="39" t="e">
        <f t="shared" si="31"/>
        <v>#N/A</v>
      </c>
      <c r="AO150" s="92"/>
      <c r="AP150" s="92"/>
      <c r="AQ150" s="92"/>
      <c r="AR150" s="92"/>
      <c r="AS150" s="92"/>
      <c r="AT150" s="92"/>
      <c r="AU150" s="92"/>
      <c r="AV150" s="92"/>
      <c r="AW150" s="92"/>
      <c r="AX150" s="92"/>
      <c r="AY150" s="92"/>
      <c r="BB150" s="620">
        <v>97.29999999999924</v>
      </c>
      <c r="BC150" s="619">
        <v>1.02</v>
      </c>
      <c r="BD150" s="619">
        <v>1.02</v>
      </c>
      <c r="BE150" s="620">
        <v>97.29999999999924</v>
      </c>
      <c r="BF150" s="619">
        <v>1.02</v>
      </c>
      <c r="BG150" s="619">
        <v>1.02</v>
      </c>
      <c r="BH150" s="623">
        <f t="shared" si="27"/>
        <v>1.02</v>
      </c>
      <c r="BI150" s="623">
        <f t="shared" si="28"/>
        <v>1.02</v>
      </c>
    </row>
    <row r="151" spans="22:61" ht="12.75">
      <c r="V151" s="185">
        <v>90</v>
      </c>
      <c r="W151" s="180">
        <v>-0.05</v>
      </c>
      <c r="X151" s="180">
        <v>-0.09</v>
      </c>
      <c r="Y151" s="180">
        <v>-0.02</v>
      </c>
      <c r="Z151" s="180">
        <v>-0.09</v>
      </c>
      <c r="AA151" s="181">
        <v>-0.3</v>
      </c>
      <c r="AB151" s="186">
        <v>-0.09</v>
      </c>
      <c r="AC151" s="92"/>
      <c r="AD151" s="197"/>
      <c r="AE151" s="141">
        <f aca="true" t="shared" si="39" ref="AE151:AJ152">AE146</f>
        <v>0.01</v>
      </c>
      <c r="AF151" s="142" t="e">
        <f t="shared" si="39"/>
        <v>#N/A</v>
      </c>
      <c r="AG151" s="142" t="e">
        <f t="shared" si="39"/>
        <v>#N/A</v>
      </c>
      <c r="AH151" s="142" t="e">
        <f t="shared" si="39"/>
        <v>#N/A</v>
      </c>
      <c r="AI151" s="142" t="e">
        <f t="shared" si="39"/>
        <v>#N/A</v>
      </c>
      <c r="AJ151" s="143" t="e">
        <f t="shared" si="39"/>
        <v>#N/A</v>
      </c>
      <c r="AK151" s="92"/>
      <c r="AL151" s="217"/>
      <c r="AM151" s="218" t="e">
        <f t="shared" si="30"/>
        <v>#N/A</v>
      </c>
      <c r="AN151" s="39" t="e">
        <f t="shared" si="31"/>
        <v>#N/A</v>
      </c>
      <c r="AO151" s="92"/>
      <c r="AP151" s="92"/>
      <c r="AQ151" s="92"/>
      <c r="AR151" s="92"/>
      <c r="AS151" s="92"/>
      <c r="AT151" s="92"/>
      <c r="AU151" s="92"/>
      <c r="AV151" s="92"/>
      <c r="AW151" s="92"/>
      <c r="AX151" s="92"/>
      <c r="AY151" s="92"/>
      <c r="BB151" s="620">
        <v>97.39999999999924</v>
      </c>
      <c r="BC151" s="619">
        <v>1.02</v>
      </c>
      <c r="BD151" s="619">
        <v>1.02</v>
      </c>
      <c r="BE151" s="620">
        <v>97.39999999999924</v>
      </c>
      <c r="BF151" s="619">
        <v>1.02</v>
      </c>
      <c r="BG151" s="619">
        <v>1.02</v>
      </c>
      <c r="BH151" s="623">
        <f t="shared" si="27"/>
        <v>1.02</v>
      </c>
      <c r="BI151" s="623">
        <f t="shared" si="28"/>
        <v>1.02</v>
      </c>
    </row>
    <row r="152" spans="22:61" ht="12.75">
      <c r="V152" s="185">
        <v>90.1</v>
      </c>
      <c r="W152" s="180">
        <v>-0.05</v>
      </c>
      <c r="X152" s="180">
        <v>-0.09</v>
      </c>
      <c r="Y152" s="180">
        <v>-0.02</v>
      </c>
      <c r="Z152" s="180">
        <v>-0.09</v>
      </c>
      <c r="AA152" s="181">
        <v>-0.3</v>
      </c>
      <c r="AB152" s="186">
        <v>-0.09</v>
      </c>
      <c r="AC152" s="92"/>
      <c r="AD152" s="197"/>
      <c r="AE152" s="144" t="e">
        <f t="shared" si="39"/>
        <v>#DIV/0!</v>
      </c>
      <c r="AF152" s="134" t="e">
        <f t="shared" si="39"/>
        <v>#DIV/0!</v>
      </c>
      <c r="AG152" s="134" t="e">
        <f t="shared" si="39"/>
        <v>#DIV/0!</v>
      </c>
      <c r="AH152" s="134" t="e">
        <f t="shared" si="39"/>
        <v>#DIV/0!</v>
      </c>
      <c r="AI152" s="134" t="e">
        <f t="shared" si="39"/>
        <v>#DIV/0!</v>
      </c>
      <c r="AJ152" s="145" t="e">
        <f t="shared" si="39"/>
        <v>#DIV/0!</v>
      </c>
      <c r="AK152" s="92"/>
      <c r="AL152" s="217">
        <v>5</v>
      </c>
      <c r="AM152" s="218" t="e">
        <f t="shared" si="30"/>
        <v>#N/A</v>
      </c>
      <c r="AN152" s="39" t="e">
        <f t="shared" si="31"/>
        <v>#N/A</v>
      </c>
      <c r="AO152" s="92"/>
      <c r="AP152" s="92"/>
      <c r="AQ152" s="92"/>
      <c r="AR152" s="92"/>
      <c r="AS152" s="92"/>
      <c r="AT152" s="92"/>
      <c r="AU152" s="92"/>
      <c r="AV152" s="92"/>
      <c r="AW152" s="92"/>
      <c r="AX152" s="92"/>
      <c r="AY152" s="92"/>
      <c r="BB152" s="620">
        <v>97.49999999999923</v>
      </c>
      <c r="BC152" s="619">
        <v>1.02</v>
      </c>
      <c r="BD152" s="619">
        <v>1.02</v>
      </c>
      <c r="BE152" s="620">
        <v>97.49999999999923</v>
      </c>
      <c r="BF152" s="619">
        <v>1.02</v>
      </c>
      <c r="BG152" s="619">
        <v>1.02</v>
      </c>
      <c r="BH152" s="623">
        <f t="shared" si="27"/>
        <v>1.02</v>
      </c>
      <c r="BI152" s="623">
        <f t="shared" si="28"/>
        <v>1.02</v>
      </c>
    </row>
    <row r="153" spans="22:61" ht="12.75">
      <c r="V153" s="185">
        <v>90.2</v>
      </c>
      <c r="W153" s="180">
        <v>-0.05</v>
      </c>
      <c r="X153" s="180">
        <v>-0.09</v>
      </c>
      <c r="Y153" s="180">
        <v>-0.02</v>
      </c>
      <c r="Z153" s="180">
        <v>-0.09</v>
      </c>
      <c r="AA153" s="181">
        <v>-0.3</v>
      </c>
      <c r="AB153" s="186">
        <v>-0.09</v>
      </c>
      <c r="AC153" s="92"/>
      <c r="AD153" s="197"/>
      <c r="AE153" s="144" t="e">
        <f aca="true" t="shared" si="40" ref="AE153:AJ155">IF(AE148=AE147,AE149,AE148)</f>
        <v>#DIV/0!</v>
      </c>
      <c r="AF153" s="134" t="e">
        <f t="shared" si="40"/>
        <v>#DIV/0!</v>
      </c>
      <c r="AG153" s="134" t="e">
        <f t="shared" si="40"/>
        <v>#DIV/0!</v>
      </c>
      <c r="AH153" s="134" t="e">
        <f t="shared" si="40"/>
        <v>#DIV/0!</v>
      </c>
      <c r="AI153" s="134" t="e">
        <f t="shared" si="40"/>
        <v>#DIV/0!</v>
      </c>
      <c r="AJ153" s="145" t="e">
        <f t="shared" si="40"/>
        <v>#DIV/0!</v>
      </c>
      <c r="AK153" s="92"/>
      <c r="AL153" s="217"/>
      <c r="AM153" s="218" t="e">
        <f t="shared" si="30"/>
        <v>#N/A</v>
      </c>
      <c r="AN153" s="39" t="e">
        <f t="shared" si="31"/>
        <v>#N/A</v>
      </c>
      <c r="AO153" s="92"/>
      <c r="AP153" s="92"/>
      <c r="AQ153" s="92"/>
      <c r="AR153" s="92"/>
      <c r="AS153" s="92"/>
      <c r="AT153" s="92"/>
      <c r="AU153" s="92"/>
      <c r="AV153" s="92"/>
      <c r="AW153" s="92"/>
      <c r="AX153" s="92"/>
      <c r="AY153" s="92"/>
      <c r="BB153" s="620">
        <v>97.59999999999923</v>
      </c>
      <c r="BC153" s="619">
        <v>1.02</v>
      </c>
      <c r="BD153" s="619">
        <v>1.02</v>
      </c>
      <c r="BE153" s="620">
        <v>97.59999999999923</v>
      </c>
      <c r="BF153" s="619">
        <v>1.02</v>
      </c>
      <c r="BG153" s="619">
        <v>1.02</v>
      </c>
      <c r="BH153" s="623">
        <f t="shared" si="27"/>
        <v>1.02</v>
      </c>
      <c r="BI153" s="623">
        <f t="shared" si="28"/>
        <v>1.02</v>
      </c>
    </row>
    <row r="154" spans="22:61" ht="12.75">
      <c r="V154" s="185">
        <v>90.3</v>
      </c>
      <c r="W154" s="180">
        <v>-0.05</v>
      </c>
      <c r="X154" s="180">
        <v>-0.09</v>
      </c>
      <c r="Y154" s="180">
        <v>-0.02</v>
      </c>
      <c r="Z154" s="180">
        <v>-0.09</v>
      </c>
      <c r="AA154" s="181">
        <v>-0.3</v>
      </c>
      <c r="AB154" s="186">
        <v>-0.09</v>
      </c>
      <c r="AC154" s="92"/>
      <c r="AD154" s="197"/>
      <c r="AE154" s="144" t="e">
        <f t="shared" si="40"/>
        <v>#DIV/0!</v>
      </c>
      <c r="AF154" s="134" t="e">
        <f t="shared" si="40"/>
        <v>#DIV/0!</v>
      </c>
      <c r="AG154" s="134" t="e">
        <f t="shared" si="40"/>
        <v>#DIV/0!</v>
      </c>
      <c r="AH154" s="134" t="e">
        <f t="shared" si="40"/>
        <v>#DIV/0!</v>
      </c>
      <c r="AI154" s="134" t="e">
        <f t="shared" si="40"/>
        <v>#DIV/0!</v>
      </c>
      <c r="AJ154" s="145" t="e">
        <f t="shared" si="40"/>
        <v>#DIV/0!</v>
      </c>
      <c r="AK154" s="92"/>
      <c r="AL154" s="217"/>
      <c r="AM154" s="218" t="e">
        <f t="shared" si="30"/>
        <v>#N/A</v>
      </c>
      <c r="AN154" s="39" t="e">
        <f t="shared" si="31"/>
        <v>#N/A</v>
      </c>
      <c r="AO154" s="92"/>
      <c r="AP154" s="92"/>
      <c r="AQ154" s="92"/>
      <c r="AR154" s="92"/>
      <c r="AS154" s="92"/>
      <c r="AT154" s="92"/>
      <c r="AU154" s="92"/>
      <c r="AV154" s="92"/>
      <c r="AW154" s="92"/>
      <c r="AX154" s="92"/>
      <c r="AY154" s="92"/>
      <c r="BB154" s="620">
        <v>97.69999999999922</v>
      </c>
      <c r="BC154" s="619">
        <v>1.02</v>
      </c>
      <c r="BD154" s="619">
        <v>1.02</v>
      </c>
      <c r="BE154" s="620">
        <v>97.69999999999922</v>
      </c>
      <c r="BF154" s="619">
        <v>1.02</v>
      </c>
      <c r="BG154" s="619">
        <v>1.02</v>
      </c>
      <c r="BH154" s="623">
        <f t="shared" si="27"/>
        <v>1.02</v>
      </c>
      <c r="BI154" s="623">
        <f t="shared" si="28"/>
        <v>1.02</v>
      </c>
    </row>
    <row r="155" spans="22:61" ht="13.5" thickBot="1">
      <c r="V155" s="185">
        <v>90.4</v>
      </c>
      <c r="W155" s="180">
        <v>-0.05</v>
      </c>
      <c r="X155" s="180">
        <v>-0.09</v>
      </c>
      <c r="Y155" s="180">
        <v>-0.02</v>
      </c>
      <c r="Z155" s="180">
        <v>-0.09</v>
      </c>
      <c r="AA155" s="181">
        <v>-0.3</v>
      </c>
      <c r="AB155" s="186">
        <v>-0.09</v>
      </c>
      <c r="AC155" s="92"/>
      <c r="AD155" s="197"/>
      <c r="AE155" s="146" t="e">
        <f t="shared" si="40"/>
        <v>#N/A</v>
      </c>
      <c r="AF155" s="147" t="e">
        <f t="shared" si="40"/>
        <v>#N/A</v>
      </c>
      <c r="AG155" s="147" t="e">
        <f t="shared" si="40"/>
        <v>#N/A</v>
      </c>
      <c r="AH155" s="147" t="e">
        <f t="shared" si="40"/>
        <v>#N/A</v>
      </c>
      <c r="AI155" s="147" t="e">
        <f t="shared" si="40"/>
        <v>#N/A</v>
      </c>
      <c r="AJ155" s="148" t="e">
        <f t="shared" si="40"/>
        <v>#N/A</v>
      </c>
      <c r="AK155" s="92"/>
      <c r="AL155" s="217"/>
      <c r="AM155" s="218" t="e">
        <f t="shared" si="30"/>
        <v>#N/A</v>
      </c>
      <c r="AN155" s="39" t="e">
        <f t="shared" si="31"/>
        <v>#N/A</v>
      </c>
      <c r="AO155" s="92"/>
      <c r="AP155" s="92"/>
      <c r="AQ155" s="92"/>
      <c r="AR155" s="92"/>
      <c r="AS155" s="92"/>
      <c r="AT155" s="92"/>
      <c r="AU155" s="92"/>
      <c r="AV155" s="92"/>
      <c r="AW155" s="92"/>
      <c r="AX155" s="92"/>
      <c r="AY155" s="92"/>
      <c r="BB155" s="620">
        <v>97.79999999999922</v>
      </c>
      <c r="BC155" s="619">
        <v>1.02</v>
      </c>
      <c r="BD155" s="619">
        <v>1.02</v>
      </c>
      <c r="BE155" s="620">
        <v>97.79999999999922</v>
      </c>
      <c r="BF155" s="619">
        <v>1.02</v>
      </c>
      <c r="BG155" s="619">
        <v>1.02</v>
      </c>
      <c r="BH155" s="623">
        <f t="shared" si="27"/>
        <v>1.02</v>
      </c>
      <c r="BI155" s="623">
        <f t="shared" si="28"/>
        <v>1.02</v>
      </c>
    </row>
    <row r="156" spans="22:61" ht="13.5" thickBot="1">
      <c r="V156" s="185">
        <v>90.5</v>
      </c>
      <c r="W156" s="180">
        <v>-0.02</v>
      </c>
      <c r="X156" s="180">
        <v>-0.05</v>
      </c>
      <c r="Y156" s="180">
        <v>-0.02</v>
      </c>
      <c r="Z156" s="181">
        <v>-0.05</v>
      </c>
      <c r="AA156" s="181">
        <v>-0.15</v>
      </c>
      <c r="AB156" s="186">
        <v>-0.05</v>
      </c>
      <c r="AC156" s="92"/>
      <c r="AD156" s="197"/>
      <c r="AE156" s="139"/>
      <c r="AF156" s="140"/>
      <c r="AG156" s="140"/>
      <c r="AH156" s="140"/>
      <c r="AI156" s="140"/>
      <c r="AJ156" s="140"/>
      <c r="AK156" s="92"/>
      <c r="AL156" s="217">
        <v>6</v>
      </c>
      <c r="AM156" s="218" t="e">
        <f t="shared" si="30"/>
        <v>#N/A</v>
      </c>
      <c r="AN156" s="39" t="e">
        <f t="shared" si="31"/>
        <v>#N/A</v>
      </c>
      <c r="AO156" s="92"/>
      <c r="AP156" s="92"/>
      <c r="AQ156" s="92"/>
      <c r="AR156" s="92"/>
      <c r="AS156" s="92"/>
      <c r="AT156" s="92"/>
      <c r="AU156" s="92"/>
      <c r="AV156" s="92"/>
      <c r="AW156" s="92"/>
      <c r="AX156" s="92"/>
      <c r="AY156" s="92"/>
      <c r="BB156" s="620">
        <v>97.89999999999921</v>
      </c>
      <c r="BC156" s="619">
        <v>1.02</v>
      </c>
      <c r="BD156" s="619">
        <v>1.02</v>
      </c>
      <c r="BE156" s="620">
        <v>97.89999999999921</v>
      </c>
      <c r="BF156" s="619">
        <v>1.02</v>
      </c>
      <c r="BG156" s="619">
        <v>1.02</v>
      </c>
      <c r="BH156" s="623">
        <f t="shared" si="27"/>
        <v>1.02</v>
      </c>
      <c r="BI156" s="623">
        <f t="shared" si="28"/>
        <v>1.02</v>
      </c>
    </row>
    <row r="157" spans="22:61" ht="12.75">
      <c r="V157" s="185">
        <v>90.6</v>
      </c>
      <c r="W157" s="180">
        <v>-0.02</v>
      </c>
      <c r="X157" s="180">
        <v>-0.05</v>
      </c>
      <c r="Y157" s="180">
        <v>-0.02</v>
      </c>
      <c r="Z157" s="181">
        <v>-0.05</v>
      </c>
      <c r="AA157" s="181">
        <v>-0.15</v>
      </c>
      <c r="AB157" s="186">
        <v>-0.05</v>
      </c>
      <c r="AC157" s="92"/>
      <c r="AD157" s="197"/>
      <c r="AE157" s="141">
        <f aca="true" t="shared" si="41" ref="AE157:AJ157">AE151</f>
        <v>0.01</v>
      </c>
      <c r="AF157" s="142" t="e">
        <f t="shared" si="41"/>
        <v>#N/A</v>
      </c>
      <c r="AG157" s="142" t="e">
        <f t="shared" si="41"/>
        <v>#N/A</v>
      </c>
      <c r="AH157" s="142" t="e">
        <f t="shared" si="41"/>
        <v>#N/A</v>
      </c>
      <c r="AI157" s="142" t="e">
        <f t="shared" si="41"/>
        <v>#N/A</v>
      </c>
      <c r="AJ157" s="143" t="e">
        <f t="shared" si="41"/>
        <v>#N/A</v>
      </c>
      <c r="AK157" s="92"/>
      <c r="AL157" s="217"/>
      <c r="AM157" s="218" t="e">
        <f t="shared" si="30"/>
        <v>#N/A</v>
      </c>
      <c r="AN157" s="39" t="e">
        <f t="shared" si="31"/>
        <v>#N/A</v>
      </c>
      <c r="AO157" s="92"/>
      <c r="AP157" s="92"/>
      <c r="AQ157" s="92"/>
      <c r="AR157" s="92"/>
      <c r="AS157" s="92"/>
      <c r="AT157" s="92"/>
      <c r="AU157" s="92"/>
      <c r="AV157" s="92"/>
      <c r="AW157" s="92"/>
      <c r="AX157" s="92"/>
      <c r="AY157" s="92"/>
      <c r="BB157" s="620">
        <v>97.9999999999992</v>
      </c>
      <c r="BC157" s="619">
        <v>1.02</v>
      </c>
      <c r="BD157" s="619">
        <v>1.02</v>
      </c>
      <c r="BE157" s="620">
        <v>97.9999999999992</v>
      </c>
      <c r="BF157" s="619">
        <v>1.02</v>
      </c>
      <c r="BG157" s="619">
        <v>1.02</v>
      </c>
      <c r="BH157" s="623">
        <f t="shared" si="27"/>
        <v>1.02</v>
      </c>
      <c r="BI157" s="623">
        <f t="shared" si="28"/>
        <v>1.02</v>
      </c>
    </row>
    <row r="158" spans="22:61" ht="12.75">
      <c r="V158" s="185">
        <v>90.7</v>
      </c>
      <c r="W158" s="180">
        <v>-0.02</v>
      </c>
      <c r="X158" s="180">
        <v>-0.05</v>
      </c>
      <c r="Y158" s="180">
        <v>-0.02</v>
      </c>
      <c r="Z158" s="181">
        <v>-0.05</v>
      </c>
      <c r="AA158" s="181">
        <v>-0.15</v>
      </c>
      <c r="AB158" s="186">
        <v>-0.05</v>
      </c>
      <c r="AC158" s="92"/>
      <c r="AD158" s="197"/>
      <c r="AE158" s="144" t="e">
        <f aca="true" t="shared" si="42" ref="AE158:AJ158">IF(AE152=AE153,AE153,AE152)</f>
        <v>#DIV/0!</v>
      </c>
      <c r="AF158" s="134" t="e">
        <f t="shared" si="42"/>
        <v>#DIV/0!</v>
      </c>
      <c r="AG158" s="134" t="e">
        <f t="shared" si="42"/>
        <v>#DIV/0!</v>
      </c>
      <c r="AH158" s="134" t="e">
        <f t="shared" si="42"/>
        <v>#DIV/0!</v>
      </c>
      <c r="AI158" s="134" t="e">
        <f t="shared" si="42"/>
        <v>#DIV/0!</v>
      </c>
      <c r="AJ158" s="145" t="e">
        <f t="shared" si="42"/>
        <v>#DIV/0!</v>
      </c>
      <c r="AK158" s="92"/>
      <c r="AL158" s="217"/>
      <c r="AM158" s="218" t="e">
        <f t="shared" si="30"/>
        <v>#N/A</v>
      </c>
      <c r="AN158" s="39" t="e">
        <f t="shared" si="31"/>
        <v>#N/A</v>
      </c>
      <c r="AO158" s="92"/>
      <c r="AP158" s="92"/>
      <c r="AQ158" s="92"/>
      <c r="AR158" s="92"/>
      <c r="AS158" s="92"/>
      <c r="AT158" s="92"/>
      <c r="AU158" s="92"/>
      <c r="AV158" s="92"/>
      <c r="AW158" s="92"/>
      <c r="AX158" s="92"/>
      <c r="AY158" s="92"/>
      <c r="BB158" s="620">
        <v>98.0999999999992</v>
      </c>
      <c r="BC158" s="619">
        <v>1.02</v>
      </c>
      <c r="BD158" s="619">
        <v>1.02</v>
      </c>
      <c r="BE158" s="620">
        <v>98.0999999999992</v>
      </c>
      <c r="BF158" s="619">
        <v>1.02</v>
      </c>
      <c r="BG158" s="619">
        <v>1.02</v>
      </c>
      <c r="BH158" s="623">
        <f t="shared" si="27"/>
        <v>1.02</v>
      </c>
      <c r="BI158" s="623">
        <f t="shared" si="28"/>
        <v>1.02</v>
      </c>
    </row>
    <row r="159" spans="22:61" ht="12.75">
      <c r="V159" s="185">
        <v>90.8</v>
      </c>
      <c r="W159" s="180">
        <v>-0.02</v>
      </c>
      <c r="X159" s="180">
        <v>-0.05</v>
      </c>
      <c r="Y159" s="180">
        <v>-0.02</v>
      </c>
      <c r="Z159" s="181">
        <v>-0.05</v>
      </c>
      <c r="AA159" s="181">
        <v>-0.15</v>
      </c>
      <c r="AB159" s="186">
        <v>-0.05</v>
      </c>
      <c r="AC159" s="92"/>
      <c r="AD159" s="197"/>
      <c r="AE159" s="144" t="e">
        <f aca="true" t="shared" si="43" ref="AE159:AJ159">IF(AE153=AE152,AE154,AE153)</f>
        <v>#DIV/0!</v>
      </c>
      <c r="AF159" s="134" t="e">
        <f t="shared" si="43"/>
        <v>#DIV/0!</v>
      </c>
      <c r="AG159" s="134" t="e">
        <f t="shared" si="43"/>
        <v>#DIV/0!</v>
      </c>
      <c r="AH159" s="134" t="e">
        <f t="shared" si="43"/>
        <v>#DIV/0!</v>
      </c>
      <c r="AI159" s="134" t="e">
        <f t="shared" si="43"/>
        <v>#DIV/0!</v>
      </c>
      <c r="AJ159" s="145" t="e">
        <f t="shared" si="43"/>
        <v>#DIV/0!</v>
      </c>
      <c r="AK159" s="92"/>
      <c r="AL159" s="217"/>
      <c r="AM159" s="217"/>
      <c r="AN159" s="219"/>
      <c r="AO159" s="92"/>
      <c r="AP159" s="92"/>
      <c r="AQ159" s="92"/>
      <c r="AR159" s="92"/>
      <c r="AS159" s="92"/>
      <c r="AT159" s="92"/>
      <c r="AU159" s="92"/>
      <c r="AV159" s="92"/>
      <c r="AW159" s="92"/>
      <c r="AX159" s="92"/>
      <c r="AY159" s="92"/>
      <c r="BB159" s="620">
        <v>98.19999999999919</v>
      </c>
      <c r="BC159" s="619">
        <v>1.02</v>
      </c>
      <c r="BD159" s="619">
        <v>1.02</v>
      </c>
      <c r="BE159" s="620">
        <v>98.19999999999919</v>
      </c>
      <c r="BF159" s="619">
        <v>1.02</v>
      </c>
      <c r="BG159" s="619">
        <v>1.02</v>
      </c>
      <c r="BH159" s="623">
        <f t="shared" si="27"/>
        <v>1.02</v>
      </c>
      <c r="BI159" s="623">
        <f t="shared" si="28"/>
        <v>1.02</v>
      </c>
    </row>
    <row r="160" spans="22:61" ht="12.75">
      <c r="V160" s="185">
        <v>90.9</v>
      </c>
      <c r="W160" s="180">
        <v>-0.02</v>
      </c>
      <c r="X160" s="180">
        <v>-0.05</v>
      </c>
      <c r="Y160" s="180">
        <v>-0.02</v>
      </c>
      <c r="Z160" s="181">
        <v>-0.05</v>
      </c>
      <c r="AA160" s="181">
        <v>-0.15</v>
      </c>
      <c r="AB160" s="186">
        <v>-0.05</v>
      </c>
      <c r="AC160" s="92"/>
      <c r="AD160" s="175"/>
      <c r="AE160" s="144" t="e">
        <f aca="true" t="shared" si="44" ref="AE160:AJ160">IF(AE154="","",IF(AE154=AE153,AE155,AE154))</f>
        <v>#DIV/0!</v>
      </c>
      <c r="AF160" s="134" t="e">
        <f t="shared" si="44"/>
        <v>#DIV/0!</v>
      </c>
      <c r="AG160" s="134" t="e">
        <f t="shared" si="44"/>
        <v>#DIV/0!</v>
      </c>
      <c r="AH160" s="134" t="e">
        <f t="shared" si="44"/>
        <v>#DIV/0!</v>
      </c>
      <c r="AI160" s="134" t="e">
        <f t="shared" si="44"/>
        <v>#DIV/0!</v>
      </c>
      <c r="AJ160" s="145" t="e">
        <f t="shared" si="44"/>
        <v>#DIV/0!</v>
      </c>
      <c r="AK160" s="92"/>
      <c r="AL160" s="217"/>
      <c r="AM160" s="217"/>
      <c r="AN160" s="219"/>
      <c r="AO160" s="92"/>
      <c r="AP160" s="92"/>
      <c r="AQ160" s="92"/>
      <c r="AR160" s="92"/>
      <c r="AS160" s="92"/>
      <c r="AT160" s="92"/>
      <c r="AU160" s="92"/>
      <c r="AV160" s="92"/>
      <c r="AW160" s="92"/>
      <c r="AX160" s="92"/>
      <c r="AY160" s="92"/>
      <c r="BB160" s="620">
        <v>98.29999999999919</v>
      </c>
      <c r="BC160" s="619">
        <v>1.02</v>
      </c>
      <c r="BD160" s="619">
        <v>1.02</v>
      </c>
      <c r="BE160" s="620">
        <v>98.29999999999919</v>
      </c>
      <c r="BF160" s="619">
        <v>1.02</v>
      </c>
      <c r="BG160" s="619">
        <v>1.02</v>
      </c>
      <c r="BH160" s="623">
        <f t="shared" si="27"/>
        <v>1.02</v>
      </c>
      <c r="BI160" s="623">
        <f t="shared" si="28"/>
        <v>1.02</v>
      </c>
    </row>
    <row r="161" spans="22:61" ht="13.5" thickBot="1">
      <c r="V161" s="185">
        <v>91</v>
      </c>
      <c r="W161" s="180">
        <v>-0.02</v>
      </c>
      <c r="X161" s="180">
        <v>-0.02</v>
      </c>
      <c r="Y161" s="180">
        <v>0</v>
      </c>
      <c r="Z161" s="181">
        <v>-0.02</v>
      </c>
      <c r="AA161" s="180">
        <v>-0.09</v>
      </c>
      <c r="AB161" s="186">
        <v>-0.02</v>
      </c>
      <c r="AC161" s="92"/>
      <c r="AD161" s="175"/>
      <c r="AE161" s="146" t="e">
        <f aca="true" t="shared" si="45" ref="AE161:AJ161">IF(AE155="","",IF(AE155=AE154,"",AE155))</f>
        <v>#N/A</v>
      </c>
      <c r="AF161" s="146" t="e">
        <f t="shared" si="45"/>
        <v>#N/A</v>
      </c>
      <c r="AG161" s="146" t="e">
        <f t="shared" si="45"/>
        <v>#N/A</v>
      </c>
      <c r="AH161" s="146" t="e">
        <f t="shared" si="45"/>
        <v>#N/A</v>
      </c>
      <c r="AI161" s="146" t="e">
        <f t="shared" si="45"/>
        <v>#N/A</v>
      </c>
      <c r="AJ161" s="146" t="e">
        <f t="shared" si="45"/>
        <v>#N/A</v>
      </c>
      <c r="AK161" s="92"/>
      <c r="AL161" s="217"/>
      <c r="AM161" s="219" t="e">
        <f>SUM(AM136:AM158)</f>
        <v>#N/A</v>
      </c>
      <c r="AN161" s="219" t="e">
        <f>SUM(AN136:AN158)</f>
        <v>#N/A</v>
      </c>
      <c r="AO161" s="92"/>
      <c r="AP161" s="92"/>
      <c r="AQ161" s="92"/>
      <c r="AR161" s="92"/>
      <c r="AS161" s="92"/>
      <c r="AT161" s="92"/>
      <c r="AU161" s="92"/>
      <c r="AV161" s="92"/>
      <c r="AW161" s="92"/>
      <c r="AX161" s="92"/>
      <c r="AY161" s="92"/>
      <c r="BB161" s="620">
        <v>98.39999999999918</v>
      </c>
      <c r="BC161" s="619">
        <v>1.02</v>
      </c>
      <c r="BD161" s="619">
        <v>1.02</v>
      </c>
      <c r="BE161" s="620">
        <v>98.39999999999918</v>
      </c>
      <c r="BF161" s="619">
        <v>1.02</v>
      </c>
      <c r="BG161" s="619">
        <v>1.02</v>
      </c>
      <c r="BH161" s="623">
        <f t="shared" si="27"/>
        <v>1.02</v>
      </c>
      <c r="BI161" s="623">
        <f t="shared" si="28"/>
        <v>1.02</v>
      </c>
    </row>
    <row r="162" spans="22:51" ht="13.5" thickBot="1">
      <c r="V162" s="185">
        <v>91.1</v>
      </c>
      <c r="W162" s="180">
        <v>-0.02</v>
      </c>
      <c r="X162" s="180">
        <v>-0.02</v>
      </c>
      <c r="Y162" s="180">
        <v>0</v>
      </c>
      <c r="Z162" s="181">
        <v>-0.02</v>
      </c>
      <c r="AA162" s="180">
        <v>-0.09</v>
      </c>
      <c r="AB162" s="186">
        <v>-0.02</v>
      </c>
      <c r="AC162" s="92"/>
      <c r="AD162" s="175"/>
      <c r="AE162" s="200"/>
      <c r="AF162" s="211"/>
      <c r="AG162" s="211"/>
      <c r="AH162" s="211"/>
      <c r="AI162" s="211"/>
      <c r="AJ162" s="211"/>
      <c r="AK162" s="92"/>
      <c r="AL162" s="220"/>
      <c r="AM162" s="220"/>
      <c r="AN162" s="15"/>
      <c r="AO162" s="92"/>
      <c r="AP162" s="92"/>
      <c r="AQ162" s="92"/>
      <c r="AR162" s="92"/>
      <c r="AS162" s="92"/>
      <c r="AT162" s="92"/>
      <c r="AU162" s="92"/>
      <c r="AV162" s="92"/>
      <c r="AW162" s="92"/>
      <c r="AX162" s="92"/>
      <c r="AY162" s="92"/>
    </row>
    <row r="163" spans="22:51" ht="12.75">
      <c r="V163" s="185">
        <v>91.2</v>
      </c>
      <c r="W163" s="180">
        <v>-0.02</v>
      </c>
      <c r="X163" s="180">
        <v>-0.02</v>
      </c>
      <c r="Y163" s="180">
        <v>0</v>
      </c>
      <c r="Z163" s="181">
        <v>-0.02</v>
      </c>
      <c r="AA163" s="180">
        <v>-0.09</v>
      </c>
      <c r="AB163" s="186">
        <v>-0.02</v>
      </c>
      <c r="AC163" s="92"/>
      <c r="AD163" s="175"/>
      <c r="AE163" s="155" t="e">
        <f aca="true" t="shared" si="46" ref="AE163:AJ163">AE158-AE157</f>
        <v>#DIV/0!</v>
      </c>
      <c r="AF163" s="156" t="e">
        <f t="shared" si="46"/>
        <v>#DIV/0!</v>
      </c>
      <c r="AG163" s="156" t="e">
        <f t="shared" si="46"/>
        <v>#DIV/0!</v>
      </c>
      <c r="AH163" s="156" t="e">
        <f t="shared" si="46"/>
        <v>#DIV/0!</v>
      </c>
      <c r="AI163" s="156" t="e">
        <f t="shared" si="46"/>
        <v>#DIV/0!</v>
      </c>
      <c r="AJ163" s="157" t="e">
        <f t="shared" si="46"/>
        <v>#DIV/0!</v>
      </c>
      <c r="AK163" s="92"/>
      <c r="AL163" s="15"/>
      <c r="AM163" s="15"/>
      <c r="AN163" s="15"/>
      <c r="AO163" s="92"/>
      <c r="AP163" s="92"/>
      <c r="AQ163" s="92"/>
      <c r="AR163" s="92"/>
      <c r="AS163" s="92"/>
      <c r="AT163" s="92"/>
      <c r="AU163" s="92"/>
      <c r="AV163" s="92"/>
      <c r="AW163" s="92"/>
      <c r="AX163" s="92"/>
      <c r="AY163" s="92"/>
    </row>
    <row r="164" spans="22:51" ht="12.75">
      <c r="V164" s="185">
        <v>91.3</v>
      </c>
      <c r="W164" s="180">
        <v>-0.02</v>
      </c>
      <c r="X164" s="180">
        <v>-0.02</v>
      </c>
      <c r="Y164" s="180">
        <v>0</v>
      </c>
      <c r="Z164" s="181">
        <v>-0.02</v>
      </c>
      <c r="AA164" s="180">
        <v>-0.09</v>
      </c>
      <c r="AB164" s="186">
        <v>-0.02</v>
      </c>
      <c r="AC164" s="92"/>
      <c r="AD164" s="175"/>
      <c r="AE164" s="158" t="e">
        <f>IF(AE159="","",IF(AE159=AE158,"",AE159-AE158))</f>
        <v>#DIV/0!</v>
      </c>
      <c r="AF164" s="135" t="e">
        <f aca="true" t="shared" si="47" ref="AF164:AJ166">IF(AF159="","",AF159-AF158)</f>
        <v>#DIV/0!</v>
      </c>
      <c r="AG164" s="135" t="e">
        <f t="shared" si="47"/>
        <v>#DIV/0!</v>
      </c>
      <c r="AH164" s="135" t="e">
        <f t="shared" si="47"/>
        <v>#DIV/0!</v>
      </c>
      <c r="AI164" s="135" t="e">
        <f t="shared" si="47"/>
        <v>#DIV/0!</v>
      </c>
      <c r="AJ164" s="159" t="e">
        <f t="shared" si="47"/>
        <v>#DIV/0!</v>
      </c>
      <c r="AK164" s="92"/>
      <c r="AL164" s="92"/>
      <c r="AM164" s="92"/>
      <c r="AN164" s="92"/>
      <c r="AO164" s="92"/>
      <c r="AP164" s="92"/>
      <c r="AQ164" s="92"/>
      <c r="AR164" s="92"/>
      <c r="AS164" s="92"/>
      <c r="AT164" s="92"/>
      <c r="AU164" s="92"/>
      <c r="AV164" s="92"/>
      <c r="AW164" s="92"/>
      <c r="AX164" s="92"/>
      <c r="AY164" s="92"/>
    </row>
    <row r="165" spans="22:51" ht="12.75">
      <c r="V165" s="185">
        <v>91.4</v>
      </c>
      <c r="W165" s="180">
        <v>-0.02</v>
      </c>
      <c r="X165" s="180">
        <v>-0.02</v>
      </c>
      <c r="Y165" s="180">
        <v>0</v>
      </c>
      <c r="Z165" s="181">
        <v>-0.02</v>
      </c>
      <c r="AA165" s="180">
        <v>-0.09</v>
      </c>
      <c r="AB165" s="186">
        <v>-0.02</v>
      </c>
      <c r="AC165" s="92"/>
      <c r="AD165" s="175"/>
      <c r="AE165" s="158" t="e">
        <f>IF(AE160="","",IF(AE160=AE159,"",AE160-AE159))</f>
        <v>#DIV/0!</v>
      </c>
      <c r="AF165" s="135" t="e">
        <f t="shared" si="47"/>
        <v>#DIV/0!</v>
      </c>
      <c r="AG165" s="135" t="e">
        <f t="shared" si="47"/>
        <v>#DIV/0!</v>
      </c>
      <c r="AH165" s="135" t="e">
        <f t="shared" si="47"/>
        <v>#DIV/0!</v>
      </c>
      <c r="AI165" s="135" t="e">
        <f t="shared" si="47"/>
        <v>#DIV/0!</v>
      </c>
      <c r="AJ165" s="159" t="e">
        <f t="shared" si="47"/>
        <v>#DIV/0!</v>
      </c>
      <c r="AK165" s="92"/>
      <c r="AL165" s="92"/>
      <c r="AM165" s="92"/>
      <c r="AN165" s="92"/>
      <c r="AO165" s="92"/>
      <c r="AP165" s="92"/>
      <c r="AQ165" s="92"/>
      <c r="AR165" s="92"/>
      <c r="AS165" s="92"/>
      <c r="AT165" s="92"/>
      <c r="AU165" s="92"/>
      <c r="AV165" s="92"/>
      <c r="AW165" s="92"/>
      <c r="AX165" s="92"/>
      <c r="AY165" s="92"/>
    </row>
    <row r="166" spans="22:51" ht="13.5" thickBot="1">
      <c r="V166" s="185">
        <v>91.5</v>
      </c>
      <c r="W166" s="180">
        <v>0</v>
      </c>
      <c r="X166" s="180">
        <v>-0.02</v>
      </c>
      <c r="Y166" s="180">
        <v>0</v>
      </c>
      <c r="Z166" s="181">
        <v>-0.02</v>
      </c>
      <c r="AA166" s="181">
        <v>-0.05</v>
      </c>
      <c r="AB166" s="186">
        <v>-0.02</v>
      </c>
      <c r="AC166" s="92"/>
      <c r="AD166" s="175"/>
      <c r="AE166" s="160" t="e">
        <f>IF(AE161="","",AE161-AE160)</f>
        <v>#N/A</v>
      </c>
      <c r="AF166" s="161" t="e">
        <f t="shared" si="47"/>
        <v>#N/A</v>
      </c>
      <c r="AG166" s="161" t="e">
        <f t="shared" si="47"/>
        <v>#N/A</v>
      </c>
      <c r="AH166" s="161" t="e">
        <f t="shared" si="47"/>
        <v>#N/A</v>
      </c>
      <c r="AI166" s="161" t="e">
        <f t="shared" si="47"/>
        <v>#N/A</v>
      </c>
      <c r="AJ166" s="162" t="e">
        <f t="shared" si="47"/>
        <v>#N/A</v>
      </c>
      <c r="AK166" s="92"/>
      <c r="AL166" s="92"/>
      <c r="AM166" s="92"/>
      <c r="AN166" s="92"/>
      <c r="AO166" s="92"/>
      <c r="AP166" s="92"/>
      <c r="AQ166" s="92"/>
      <c r="AR166" s="92"/>
      <c r="AS166" s="92"/>
      <c r="AT166" s="92"/>
      <c r="AU166" s="92"/>
      <c r="AV166" s="92"/>
      <c r="AW166" s="92"/>
      <c r="AX166" s="92"/>
      <c r="AY166" s="92"/>
    </row>
    <row r="167" spans="22:51" ht="12.75">
      <c r="V167" s="185">
        <v>91.6</v>
      </c>
      <c r="W167" s="180">
        <v>0</v>
      </c>
      <c r="X167" s="180">
        <v>-0.02</v>
      </c>
      <c r="Y167" s="180">
        <v>0</v>
      </c>
      <c r="Z167" s="181">
        <v>-0.02</v>
      </c>
      <c r="AA167" s="181">
        <v>-0.05</v>
      </c>
      <c r="AB167" s="186">
        <v>-0.02</v>
      </c>
      <c r="AC167" s="92"/>
      <c r="AD167" s="175"/>
      <c r="AE167" s="197"/>
      <c r="AF167" s="198"/>
      <c r="AG167" s="198"/>
      <c r="AH167" s="198"/>
      <c r="AI167" s="198"/>
      <c r="AJ167" s="198"/>
      <c r="AK167" s="92"/>
      <c r="AL167" s="92"/>
      <c r="AM167" s="92"/>
      <c r="AN167" s="92"/>
      <c r="AO167" s="92"/>
      <c r="AP167" s="92"/>
      <c r="AQ167" s="92"/>
      <c r="AR167" s="92"/>
      <c r="AS167" s="92"/>
      <c r="AT167" s="92"/>
      <c r="AU167" s="92"/>
      <c r="AV167" s="92"/>
      <c r="AW167" s="92"/>
      <c r="AX167" s="92"/>
      <c r="AY167" s="92"/>
    </row>
    <row r="168" spans="22:51" ht="13.5" thickBot="1">
      <c r="V168" s="185">
        <v>91.7</v>
      </c>
      <c r="W168" s="180">
        <v>0</v>
      </c>
      <c r="X168" s="180">
        <v>-0.02</v>
      </c>
      <c r="Y168" s="180">
        <v>0</v>
      </c>
      <c r="Z168" s="181">
        <v>-0.02</v>
      </c>
      <c r="AA168" s="181">
        <v>-0.05</v>
      </c>
      <c r="AB168" s="186">
        <v>-0.02</v>
      </c>
      <c r="AC168" s="92"/>
      <c r="AD168" s="175"/>
      <c r="AE168" s="39"/>
      <c r="AF168" s="39"/>
      <c r="AG168" s="39"/>
      <c r="AH168" s="39"/>
      <c r="AI168" s="39"/>
      <c r="AJ168" s="39"/>
      <c r="AK168" s="92"/>
      <c r="AL168" s="92"/>
      <c r="AM168" s="92"/>
      <c r="AN168" s="92"/>
      <c r="AO168" s="92"/>
      <c r="AP168" s="92"/>
      <c r="AQ168" s="92"/>
      <c r="AR168" s="92"/>
      <c r="AS168" s="92"/>
      <c r="AT168" s="92"/>
      <c r="AU168" s="92"/>
      <c r="AV168" s="92"/>
      <c r="AW168" s="92"/>
      <c r="AX168" s="92"/>
      <c r="AY168" s="92"/>
    </row>
    <row r="169" spans="22:51" ht="12.75">
      <c r="V169" s="185">
        <v>91.8</v>
      </c>
      <c r="W169" s="180">
        <v>0</v>
      </c>
      <c r="X169" s="180">
        <v>-0.02</v>
      </c>
      <c r="Y169" s="180">
        <v>0</v>
      </c>
      <c r="Z169" s="181">
        <v>-0.02</v>
      </c>
      <c r="AA169" s="181">
        <v>-0.05</v>
      </c>
      <c r="AB169" s="186">
        <v>-0.02</v>
      </c>
      <c r="AC169" s="92"/>
      <c r="AD169" s="92"/>
      <c r="AE169" s="92"/>
      <c r="AF169" s="92"/>
      <c r="AG169" s="92"/>
      <c r="AH169" s="92"/>
      <c r="AI169" s="227">
        <v>7</v>
      </c>
      <c r="AJ169" s="251" t="e">
        <f>IF(AR169&gt;=2.5,AP169*$AS$93,IF(AT169&lt;0,AP169*$AS169,0))</f>
        <v>#VALUE!</v>
      </c>
      <c r="AK169" s="251" t="e">
        <f>IF(AR170&gt;=2.5,AP170*$AS$94,IF(AT170&lt;0,AP170*AS170,0))</f>
        <v>#VALUE!</v>
      </c>
      <c r="AL169" s="251" t="e">
        <f>IF(AR171&gt;=2.5,AP171*$AS$95,IF(AT171&lt;0,AP171*AS171,0))</f>
        <v>#VALUE!</v>
      </c>
      <c r="AM169" s="251" t="e">
        <f>IF(AR172&gt;=2.5,AP172*$AS$96,IF(AT172&lt;0,AP172*AS172,0))</f>
        <v>#VALUE!</v>
      </c>
      <c r="AN169" s="228" t="e">
        <f>IF($AK$87=1,VLOOKUP(AQ169,$V$78:$AB$228,2),IF($AK$87=2,VLOOKUP(AQ169,$V$78:$AB$228,3),IF($AK$87=3,VLOOKUP(AQ169,$V$78:$AB$228,4),IF($AK$87=4,VLOOKUP(AQ169,$V$78:$AB$228,5),IF($AK$87=5,VLOOKUP(AQ169,$V$78:$AB$228,6),IF($AK$87=6,VLOOKUP(AQ169,$V$78:$AB261,7,999)))))))</f>
        <v>#N/A</v>
      </c>
      <c r="AO169" s="252">
        <f>IF(OR(E48&gt;(E50+0.03),E48&lt;(E50-0.03)),E50,E48)</f>
        <v>0</v>
      </c>
      <c r="AP169" s="253" t="e">
        <f aca="true" t="shared" si="48" ref="AP169:AP176">IF(AT169="SEE SPEC.","0",(AT169*$AT$82))</f>
        <v>#N/A</v>
      </c>
      <c r="AQ169" s="254" t="str">
        <f>G99</f>
        <v>Pay</v>
      </c>
      <c r="AR169" s="251" t="e">
        <f aca="true" t="shared" si="49" ref="AR169:AR176">IF(AS169="","",IF($K$75="no",VLOOKUP(AY169-0.1,$AX$78:$AY$87,2),$H$77))</f>
        <v>#VALUE!</v>
      </c>
      <c r="AS169" s="255">
        <f>AE239</f>
        <v>0</v>
      </c>
      <c r="AT169" s="228" t="e">
        <f>IF($AN$93="SEE SPEC.","SEE SPEC.",IF(AND($AK$88=1,$AN$93&gt;=0),0,$AN$93))</f>
        <v>#N/A</v>
      </c>
      <c r="AU169" s="251" t="e">
        <f>IF(AT169="SEE SPEC.","SEE SPEC.",IF($AK$86=3,AJ171,IF($AK$86=2,AJ170,IF($AK$86=1,AJ169))))</f>
        <v>#N/A</v>
      </c>
      <c r="AV169" s="229" t="e">
        <f aca="true" t="shared" si="50" ref="AV169:AV176">IF(AND(AR169&lt;$AV$81,AND(AT169&lt;&gt;"SEE SPEC.",NOT(AT169&lt;0))),"low voids",AT169)</f>
        <v>#VALUE!</v>
      </c>
      <c r="AW169" s="92"/>
      <c r="AX169" s="92" t="s">
        <v>232</v>
      </c>
      <c r="AY169" s="92"/>
    </row>
    <row r="170" spans="22:51" ht="12.75">
      <c r="V170" s="185">
        <v>91.9</v>
      </c>
      <c r="W170" s="180">
        <v>0</v>
      </c>
      <c r="X170" s="180">
        <v>-0.02</v>
      </c>
      <c r="Y170" s="180">
        <v>0</v>
      </c>
      <c r="Z170" s="181">
        <v>-0.02</v>
      </c>
      <c r="AA170" s="181">
        <v>-0.05</v>
      </c>
      <c r="AB170" s="186">
        <v>-0.02</v>
      </c>
      <c r="AC170" s="92"/>
      <c r="AD170" s="92"/>
      <c r="AE170" s="92"/>
      <c r="AF170" s="92"/>
      <c r="AG170" s="92"/>
      <c r="AH170" s="92"/>
      <c r="AI170" s="230"/>
      <c r="AJ170" s="225" t="e">
        <f>IF(AR169&gt;=3,AP169*$AS$93,IF(AT169&lt;0,AP169*AS169,0))</f>
        <v>#VALUE!</v>
      </c>
      <c r="AK170" s="225" t="e">
        <f>IF(AR170&gt;=3,AP170*$AS$94,IF(AT170&lt;0,AP170*AS170,0))</f>
        <v>#VALUE!</v>
      </c>
      <c r="AL170" s="225" t="e">
        <f>IF(AR171&gt;=3,AP171*$AS$95,IF(AT171&lt;0,AP171*AS171,0))</f>
        <v>#VALUE!</v>
      </c>
      <c r="AM170" s="225" t="e">
        <f>IF(AR172&gt;=3,AP172*$AS$96,IF(AT172&lt;0,AP172*AS172,0))</f>
        <v>#VALUE!</v>
      </c>
      <c r="AN170" s="223"/>
      <c r="AO170" s="256">
        <f>IF(OR(E49&gt;(E50+0.03),E49&lt;(E50-0.03)),E50,E49)</f>
        <v>0</v>
      </c>
      <c r="AP170" s="257" t="e">
        <f t="shared" si="48"/>
        <v>#N/A</v>
      </c>
      <c r="AQ170" s="258"/>
      <c r="AR170" s="225" t="e">
        <f t="shared" si="49"/>
        <v>#VALUE!</v>
      </c>
      <c r="AS170" s="226">
        <f>AE240</f>
        <v>0</v>
      </c>
      <c r="AT170" s="223" t="e">
        <f>IF($AN$93="SEE SPEC.","SEE SPEC.",IF(AND($AK$88=1,$AN$93&gt;=0),0,$AN$93))</f>
        <v>#N/A</v>
      </c>
      <c r="AU170" s="225" t="e">
        <f>IF(AT170="SEE SPEC.","SEE SPEC.",IF($AK$86=3,AK171,IF($AK$86=2,AK170,IF($AK$86=1,AK169))))</f>
        <v>#N/A</v>
      </c>
      <c r="AV170" s="231" t="e">
        <f t="shared" si="50"/>
        <v>#VALUE!</v>
      </c>
      <c r="AW170" s="92"/>
      <c r="AX170" s="92" t="s">
        <v>233</v>
      </c>
      <c r="AY170" s="92"/>
    </row>
    <row r="171" spans="22:51" ht="12.75">
      <c r="V171" s="185">
        <v>92</v>
      </c>
      <c r="W171" s="180">
        <v>0</v>
      </c>
      <c r="X171" s="180">
        <v>0</v>
      </c>
      <c r="Y171" s="180">
        <v>0</v>
      </c>
      <c r="Z171" s="181">
        <v>0</v>
      </c>
      <c r="AA171" s="180">
        <v>-0.02</v>
      </c>
      <c r="AB171" s="186">
        <v>0</v>
      </c>
      <c r="AC171" s="92"/>
      <c r="AD171" s="92"/>
      <c r="AE171" s="92"/>
      <c r="AF171" s="92"/>
      <c r="AG171" s="92"/>
      <c r="AH171" s="92"/>
      <c r="AI171" s="230"/>
      <c r="AJ171" s="225" t="e">
        <f>IF(AR169&gt;=3.5,AP169*$AS$93,IF(AT169&lt;0,AP169*AS169,0))</f>
        <v>#VALUE!</v>
      </c>
      <c r="AK171" s="225" t="e">
        <f>IF(AR170&gt;=3.5,AP170*$AS$94,IF(AT170&lt;0,AP170*AS170,0))</f>
        <v>#VALUE!</v>
      </c>
      <c r="AL171" s="225" t="e">
        <f>IF(AR171&gt;=3.5,AP171*$AS171,IF(AT171&lt;0,AP171*AS171,0))</f>
        <v>#VALUE!</v>
      </c>
      <c r="AM171" s="225" t="e">
        <f>IF(AR172&gt;=3.5,AP172*$AS172,IF(AT172&lt;0,AP172*AS172,0))</f>
        <v>#VALUE!</v>
      </c>
      <c r="AN171" s="223"/>
      <c r="AO171" s="256"/>
      <c r="AP171" s="257" t="e">
        <f t="shared" si="48"/>
        <v>#N/A</v>
      </c>
      <c r="AQ171" s="258"/>
      <c r="AR171" s="225" t="e">
        <f t="shared" si="49"/>
        <v>#VALUE!</v>
      </c>
      <c r="AS171" s="226">
        <f>AE241</f>
        <v>0</v>
      </c>
      <c r="AT171" s="223" t="e">
        <f>IF($AN$93="SEE SPEC.","SEE SPEC.",IF(AND($AK$88=1,$AN$93&gt;=0),0,$AN$93))</f>
        <v>#N/A</v>
      </c>
      <c r="AU171" s="225" t="e">
        <f>IF(AT171="SEE SPEC.","SEE SPEC.",IF($AK$86=3,AL171,IF($AK$86=2,AL170,IF($AK$86=1,AL169))))</f>
        <v>#N/A</v>
      </c>
      <c r="AV171" s="231" t="e">
        <f t="shared" si="50"/>
        <v>#VALUE!</v>
      </c>
      <c r="AW171" s="92"/>
      <c r="AX171" s="92" t="s">
        <v>328</v>
      </c>
      <c r="AY171" s="92"/>
    </row>
    <row r="172" spans="22:51" ht="13.5" thickBot="1">
      <c r="V172" s="185">
        <v>92.1</v>
      </c>
      <c r="W172" s="180">
        <v>0</v>
      </c>
      <c r="X172" s="180">
        <v>0</v>
      </c>
      <c r="Y172" s="180">
        <v>0</v>
      </c>
      <c r="Z172" s="181">
        <v>0</v>
      </c>
      <c r="AA172" s="180">
        <v>-0.02</v>
      </c>
      <c r="AB172" s="186">
        <v>0</v>
      </c>
      <c r="AC172" s="92"/>
      <c r="AD172" s="92"/>
      <c r="AE172" s="92"/>
      <c r="AF172" s="92"/>
      <c r="AG172" s="92"/>
      <c r="AH172" s="92"/>
      <c r="AI172" s="259"/>
      <c r="AJ172" s="260"/>
      <c r="AK172" s="260"/>
      <c r="AL172" s="260"/>
      <c r="AM172" s="260"/>
      <c r="AN172" s="233"/>
      <c r="AO172" s="261"/>
      <c r="AP172" s="262" t="e">
        <f t="shared" si="48"/>
        <v>#N/A</v>
      </c>
      <c r="AQ172" s="258"/>
      <c r="AR172" s="225" t="e">
        <f t="shared" si="49"/>
        <v>#VALUE!</v>
      </c>
      <c r="AS172" s="226">
        <f>AE242</f>
        <v>0</v>
      </c>
      <c r="AT172" s="233" t="e">
        <f>IF($AN$93="SEE SPEC.","SEE SPEC.",IF(AND($AK$88=1,$AN$93&gt;=0),0,$AN$93))</f>
        <v>#N/A</v>
      </c>
      <c r="AU172" s="260" t="e">
        <f>IF(AT172="SEE SPEC.","SEE SPEC.",IF($AK$86=3,AM171,IF($AK$86=2,AM170,IF($AK$86=1,AM169))))</f>
        <v>#N/A</v>
      </c>
      <c r="AV172" s="265" t="e">
        <f t="shared" si="50"/>
        <v>#VALUE!</v>
      </c>
      <c r="AW172" s="92"/>
      <c r="AX172" s="92"/>
      <c r="AY172" s="92"/>
    </row>
    <row r="173" spans="22:51" ht="12.75">
      <c r="V173" s="185">
        <v>92.2</v>
      </c>
      <c r="W173" s="180">
        <v>0</v>
      </c>
      <c r="X173" s="180">
        <v>0</v>
      </c>
      <c r="Y173" s="180">
        <v>0</v>
      </c>
      <c r="Z173" s="181">
        <v>0</v>
      </c>
      <c r="AA173" s="180">
        <v>-0.02</v>
      </c>
      <c r="AB173" s="186">
        <v>0</v>
      </c>
      <c r="AC173" s="92"/>
      <c r="AD173" s="92"/>
      <c r="AE173" s="92"/>
      <c r="AF173" s="92"/>
      <c r="AG173" s="92"/>
      <c r="AH173" s="92"/>
      <c r="AI173" s="227">
        <v>8</v>
      </c>
      <c r="AJ173" s="251" t="e">
        <f>IF(AR173&gt;=2.5,AP173*AS173,IF(AT173&lt;0,AP173*AS173,0))</f>
        <v>#VALUE!</v>
      </c>
      <c r="AK173" s="251" t="e">
        <f>IF(AR174&gt;=2.5,AP174*AS174,IF(AT174&lt;0,AP174*AS174,0))</f>
        <v>#VALUE!</v>
      </c>
      <c r="AL173" s="251" t="e">
        <f>IF(AR175&gt;=2.5,AP175*AS175,IF(AT175&lt;0,AP175*AS175,0))</f>
        <v>#VALUE!</v>
      </c>
      <c r="AM173" s="251" t="e">
        <f>IF(AR176&gt;=2.5,AP176*AS176,IF(AT176&lt;0,AP176*AS176,0))</f>
        <v>#VALUE!</v>
      </c>
      <c r="AN173" s="228" t="e">
        <f>IF($AK$87=1,VLOOKUP(AQ173,$V$78:$AB$228,2),IF($AK$87=2,VLOOKUP(AQ173,$V$78:$AB$228,3),IF($AK$87=3,VLOOKUP(AQ173,$V$78:$AB$228,4),IF($AK$87=4,VLOOKUP(AQ173,$V$78:$AB$228,5),IF($AK$87=5,VLOOKUP(AQ173,$V$78:$AB$228,6),IF($AK$87=6,VLOOKUP(AQ173,$V$78:$AB264,7,999)))))))</f>
        <v>#N/A</v>
      </c>
      <c r="AO173" s="252">
        <f>IF(OR(E52&gt;(E54+0.03),E52&lt;(E54-0.03)),E54,E52)</f>
        <v>0</v>
      </c>
      <c r="AP173" s="253" t="e">
        <f t="shared" si="48"/>
        <v>#N/A</v>
      </c>
      <c r="AQ173" s="254">
        <f>G103</f>
        <v>0</v>
      </c>
      <c r="AR173" s="251" t="e">
        <f t="shared" si="49"/>
        <v>#VALUE!</v>
      </c>
      <c r="AS173" s="255">
        <f>AF239</f>
        <v>0</v>
      </c>
      <c r="AT173" s="228" t="e">
        <f>IF($AN$97="SEE SPEC.","SEE SPEC.",IF(AND($AK$88=1,$AN$97&gt;=0),0,$AN$97))</f>
        <v>#N/A</v>
      </c>
      <c r="AU173" s="251" t="e">
        <f>IF(AT173="SEE SPEC.","SEE SPEC.",IF($AK$86=3,AJ175,IF($AK$86=2,AJ174,IF($AK$86=1,AJ173))))</f>
        <v>#N/A</v>
      </c>
      <c r="AV173" s="229" t="e">
        <f t="shared" si="50"/>
        <v>#VALUE!</v>
      </c>
      <c r="AW173" s="92"/>
      <c r="AX173" s="92"/>
      <c r="AY173" s="92"/>
    </row>
    <row r="174" spans="22:51" ht="12.75">
      <c r="V174" s="185">
        <v>92.3</v>
      </c>
      <c r="W174" s="180">
        <v>0</v>
      </c>
      <c r="X174" s="180">
        <v>0</v>
      </c>
      <c r="Y174" s="180">
        <v>0</v>
      </c>
      <c r="Z174" s="181">
        <v>0</v>
      </c>
      <c r="AA174" s="180">
        <v>-0.02</v>
      </c>
      <c r="AB174" s="186">
        <v>0</v>
      </c>
      <c r="AC174" s="92"/>
      <c r="AD174" s="92"/>
      <c r="AE174" s="92"/>
      <c r="AF174" s="92"/>
      <c r="AG174" s="92"/>
      <c r="AH174" s="92"/>
      <c r="AI174" s="230"/>
      <c r="AJ174" s="225" t="e">
        <f>IF(AR173&gt;=3,AP173*AS173,IF(AT173&lt;0,AP173*AS173,0))</f>
        <v>#VALUE!</v>
      </c>
      <c r="AK174" s="225" t="e">
        <f>IF(AR174&gt;=3,AP174*AS174,IF(AT174&lt;0,AP174*AS174,0))</f>
        <v>#VALUE!</v>
      </c>
      <c r="AL174" s="225" t="e">
        <f>IF(AR175&gt;=3,AP175*AS175,IF(AT175&lt;0,AP175*AS175,0))</f>
        <v>#VALUE!</v>
      </c>
      <c r="AM174" s="225" t="e">
        <f>IF(AR176&gt;=3,AP176*AS176,IF(AT176&lt;0,AP176*AS176,0))</f>
        <v>#VALUE!</v>
      </c>
      <c r="AN174" s="223"/>
      <c r="AO174" s="256">
        <f>IF(OR(E53&gt;(E54+0.03),E53&lt;(E54-0.03)),E54,E53)</f>
        <v>0</v>
      </c>
      <c r="AP174" s="257" t="e">
        <f t="shared" si="48"/>
        <v>#N/A</v>
      </c>
      <c r="AQ174" s="258"/>
      <c r="AR174" s="225" t="e">
        <f t="shared" si="49"/>
        <v>#VALUE!</v>
      </c>
      <c r="AS174" s="226">
        <f>AF240</f>
        <v>0</v>
      </c>
      <c r="AT174" s="223" t="e">
        <f>IF($AN$97="SEE SPEC.","SEE SPEC.",IF(AND($AK$88=1,$AN$97&gt;=0),0,$AN$97))</f>
        <v>#N/A</v>
      </c>
      <c r="AU174" s="225" t="e">
        <f>IF(AT174="SEE SPEC.","SEE SPEC.",IF($AK$86=3,AK175,IF($AK$86=2,AK174,IF($AK$86=1,AK173))))</f>
        <v>#N/A</v>
      </c>
      <c r="AV174" s="231" t="e">
        <f t="shared" si="50"/>
        <v>#VALUE!</v>
      </c>
      <c r="AW174" s="92"/>
      <c r="AX174" s="92"/>
      <c r="AY174" s="92"/>
    </row>
    <row r="175" spans="22:51" ht="12.75">
      <c r="V175" s="185">
        <v>92.4</v>
      </c>
      <c r="W175" s="180">
        <v>0</v>
      </c>
      <c r="X175" s="180">
        <v>0</v>
      </c>
      <c r="Y175" s="180">
        <v>0</v>
      </c>
      <c r="Z175" s="181">
        <v>0</v>
      </c>
      <c r="AA175" s="180">
        <v>-0.02</v>
      </c>
      <c r="AB175" s="186">
        <v>0</v>
      </c>
      <c r="AC175" s="92"/>
      <c r="AD175" s="92"/>
      <c r="AE175" s="92"/>
      <c r="AF175" s="92"/>
      <c r="AG175" s="92"/>
      <c r="AH175" s="92"/>
      <c r="AI175" s="230"/>
      <c r="AJ175" s="225" t="e">
        <f>IF(AR173&gt;=3.5,AP173*AS173,IF(AT173&lt;0,AP173*AS173,0))</f>
        <v>#VALUE!</v>
      </c>
      <c r="AK175" s="225" t="e">
        <f>IF(AR174&gt;=3.5,AP174*AS174,IF(AT174&lt;0,AP174*AS174,0))</f>
        <v>#VALUE!</v>
      </c>
      <c r="AL175" s="225" t="e">
        <f>IF(AR175&gt;=3.5,AP175*AS175,IF(AT175&lt;0,AP175*AS175,0))</f>
        <v>#VALUE!</v>
      </c>
      <c r="AM175" s="225" t="e">
        <f>IF(AR176&gt;=3.5,AP176*AS176,IF(AT176&lt;0,AP176*AS176,0))</f>
        <v>#VALUE!</v>
      </c>
      <c r="AN175" s="223"/>
      <c r="AO175" s="256"/>
      <c r="AP175" s="257" t="e">
        <f t="shared" si="48"/>
        <v>#N/A</v>
      </c>
      <c r="AQ175" s="258"/>
      <c r="AR175" s="225" t="e">
        <f t="shared" si="49"/>
        <v>#VALUE!</v>
      </c>
      <c r="AS175" s="226">
        <f>AF241</f>
        <v>0</v>
      </c>
      <c r="AT175" s="223" t="e">
        <f>IF($AN$97="SEE SPEC.","SEE SPEC.",IF(AND($AK$88=1,$AN$97&gt;=0),0,$AN$97))</f>
        <v>#N/A</v>
      </c>
      <c r="AU175" s="225" t="e">
        <f>IF(AT175="SEE SPEC.","SEE SPEC.",IF($AK$86=3,AL175,IF($AK$86=2,AL174,IF($AK$86=1,AL173))))</f>
        <v>#N/A</v>
      </c>
      <c r="AV175" s="231" t="e">
        <f t="shared" si="50"/>
        <v>#VALUE!</v>
      </c>
      <c r="AW175" s="92"/>
      <c r="AX175" s="92"/>
      <c r="AY175" s="92"/>
    </row>
    <row r="176" spans="22:51" ht="13.5" thickBot="1">
      <c r="V176" s="185">
        <v>92.5</v>
      </c>
      <c r="W176" s="180">
        <v>0</v>
      </c>
      <c r="X176" s="180">
        <v>0</v>
      </c>
      <c r="Y176" s="180">
        <v>0</v>
      </c>
      <c r="Z176" s="181">
        <v>0</v>
      </c>
      <c r="AA176" s="180">
        <v>-0.02</v>
      </c>
      <c r="AB176" s="186">
        <v>0</v>
      </c>
      <c r="AC176" s="92"/>
      <c r="AD176" s="92"/>
      <c r="AE176" s="92"/>
      <c r="AF176" s="92"/>
      <c r="AG176" s="92"/>
      <c r="AH176" s="92"/>
      <c r="AI176" s="259"/>
      <c r="AJ176" s="260"/>
      <c r="AK176" s="260"/>
      <c r="AL176" s="260"/>
      <c r="AM176" s="260"/>
      <c r="AN176" s="233"/>
      <c r="AO176" s="261"/>
      <c r="AP176" s="262" t="e">
        <f t="shared" si="48"/>
        <v>#N/A</v>
      </c>
      <c r="AQ176" s="263"/>
      <c r="AR176" s="260" t="e">
        <f t="shared" si="49"/>
        <v>#VALUE!</v>
      </c>
      <c r="AS176" s="264">
        <f>AF242</f>
        <v>0</v>
      </c>
      <c r="AT176" s="233" t="e">
        <f>IF($AN$97="SEE SPEC.","SEE SPEC.",IF(AND($AK$88=1,$AN$97&gt;=0),0,$AN$97))</f>
        <v>#N/A</v>
      </c>
      <c r="AU176" s="260" t="e">
        <f>IF(AT176="SEE SPEC.","SEE SPEC.",IF($AK$86=3,AM175,IF($AK$86=2,AM174,IF($AK$86=1,AM173))))</f>
        <v>#N/A</v>
      </c>
      <c r="AV176" s="265" t="e">
        <f t="shared" si="50"/>
        <v>#VALUE!</v>
      </c>
      <c r="AW176" s="92"/>
      <c r="AX176" s="92"/>
      <c r="AY176" s="92"/>
    </row>
    <row r="177" spans="22:51" ht="12.75">
      <c r="V177" s="185">
        <v>92.6</v>
      </c>
      <c r="W177" s="180">
        <v>0.02</v>
      </c>
      <c r="X177" s="180">
        <v>0</v>
      </c>
      <c r="Y177" s="180">
        <v>0</v>
      </c>
      <c r="Z177" s="181">
        <v>0</v>
      </c>
      <c r="AA177" s="180">
        <v>-0.02</v>
      </c>
      <c r="AB177" s="186">
        <v>0</v>
      </c>
      <c r="AC177" s="92"/>
      <c r="AD177" s="92"/>
      <c r="AE177" s="92"/>
      <c r="AF177" s="92"/>
      <c r="AG177" s="92"/>
      <c r="AH177" s="92"/>
      <c r="AI177" s="92"/>
      <c r="AJ177" s="92"/>
      <c r="AK177" s="92"/>
      <c r="AL177" s="92"/>
      <c r="AM177" s="92"/>
      <c r="AN177" s="92"/>
      <c r="AO177" s="92"/>
      <c r="AP177" s="92"/>
      <c r="AQ177" s="92"/>
      <c r="AR177" s="92"/>
      <c r="AS177" s="92"/>
      <c r="AT177" s="92"/>
      <c r="AU177" s="92"/>
      <c r="AV177" s="92"/>
      <c r="AW177" s="92"/>
      <c r="AX177" s="92"/>
      <c r="AY177" s="92"/>
    </row>
    <row r="178" spans="22:51" ht="12.75">
      <c r="V178" s="185">
        <v>92.7</v>
      </c>
      <c r="W178" s="180">
        <v>0.02</v>
      </c>
      <c r="X178" s="180">
        <v>0</v>
      </c>
      <c r="Y178" s="180">
        <v>0</v>
      </c>
      <c r="Z178" s="181">
        <v>0</v>
      </c>
      <c r="AA178" s="180">
        <v>-0.02</v>
      </c>
      <c r="AB178" s="186">
        <v>0</v>
      </c>
      <c r="AC178" s="92"/>
      <c r="AD178" s="92"/>
      <c r="AE178" s="92"/>
      <c r="AF178" s="92"/>
      <c r="AG178" s="92"/>
      <c r="AH178" s="92"/>
      <c r="AI178" s="92"/>
      <c r="AJ178" s="92"/>
      <c r="AK178" s="92"/>
      <c r="AL178" s="92"/>
      <c r="AM178" s="92"/>
      <c r="AN178" s="92"/>
      <c r="AO178" s="92"/>
      <c r="AP178" s="92"/>
      <c r="AQ178" s="92"/>
      <c r="AR178" s="92"/>
      <c r="AS178" s="92"/>
      <c r="AT178" s="92"/>
      <c r="AU178" s="92"/>
      <c r="AV178" s="92"/>
      <c r="AW178" s="92"/>
      <c r="AX178" s="92"/>
      <c r="AY178" s="92"/>
    </row>
    <row r="179" spans="22:51" ht="12.75">
      <c r="V179" s="185">
        <v>92.8</v>
      </c>
      <c r="W179" s="180">
        <v>0.02</v>
      </c>
      <c r="X179" s="180">
        <v>0</v>
      </c>
      <c r="Y179" s="180">
        <v>0</v>
      </c>
      <c r="Z179" s="181">
        <v>0</v>
      </c>
      <c r="AA179" s="180">
        <v>-0.02</v>
      </c>
      <c r="AB179" s="186">
        <v>0</v>
      </c>
      <c r="AC179" s="92"/>
      <c r="AD179" s="92"/>
      <c r="AE179" s="92"/>
      <c r="AF179" s="92"/>
      <c r="AG179" s="92"/>
      <c r="AH179" s="92"/>
      <c r="AI179" s="92"/>
      <c r="AJ179" s="92"/>
      <c r="AK179" s="92"/>
      <c r="AL179" s="92"/>
      <c r="AM179" s="92"/>
      <c r="AN179" s="92"/>
      <c r="AO179" s="92"/>
      <c r="AP179" s="92"/>
      <c r="AQ179" s="92"/>
      <c r="AR179" s="92"/>
      <c r="AS179" s="92"/>
      <c r="AT179" s="92"/>
      <c r="AU179" s="92"/>
      <c r="AV179" s="92"/>
      <c r="AW179" s="92"/>
      <c r="AX179" s="92"/>
      <c r="AY179" s="92"/>
    </row>
    <row r="180" spans="22:51" ht="12.75">
      <c r="V180" s="185">
        <v>92.9</v>
      </c>
      <c r="W180" s="180">
        <v>0.02</v>
      </c>
      <c r="X180" s="180">
        <v>0</v>
      </c>
      <c r="Y180" s="180">
        <v>0</v>
      </c>
      <c r="Z180" s="181">
        <v>0</v>
      </c>
      <c r="AA180" s="180">
        <v>-0.02</v>
      </c>
      <c r="AB180" s="186">
        <v>0</v>
      </c>
      <c r="AC180" s="92"/>
      <c r="AD180" s="92"/>
      <c r="AE180" s="92"/>
      <c r="AF180" s="92"/>
      <c r="AG180" s="92"/>
      <c r="AH180" s="92"/>
      <c r="AI180" s="92"/>
      <c r="AJ180" s="92"/>
      <c r="AK180" s="92"/>
      <c r="AL180" s="92"/>
      <c r="AM180" s="92"/>
      <c r="AN180" s="92"/>
      <c r="AO180" s="92"/>
      <c r="AP180" s="92"/>
      <c r="AQ180" s="92"/>
      <c r="AR180" s="92"/>
      <c r="AS180" s="92"/>
      <c r="AT180" s="92"/>
      <c r="AU180" s="92"/>
      <c r="AV180" s="92"/>
      <c r="AW180" s="92"/>
      <c r="AX180" s="92"/>
      <c r="AY180" s="92"/>
    </row>
    <row r="181" spans="22:51" ht="12.75">
      <c r="V181" s="185">
        <v>93</v>
      </c>
      <c r="W181" s="180">
        <v>0.02</v>
      </c>
      <c r="X181" s="180">
        <v>0</v>
      </c>
      <c r="Y181" s="180">
        <v>0</v>
      </c>
      <c r="Z181" s="181">
        <v>0</v>
      </c>
      <c r="AA181" s="180">
        <v>0</v>
      </c>
      <c r="AB181" s="186">
        <v>0</v>
      </c>
      <c r="AC181" s="92"/>
      <c r="AD181" s="92"/>
      <c r="AE181" s="92"/>
      <c r="AF181" s="92"/>
      <c r="AG181" s="92"/>
      <c r="AH181" s="92"/>
      <c r="AI181" s="92"/>
      <c r="AJ181" s="92"/>
      <c r="AK181" s="92"/>
      <c r="AL181" s="92"/>
      <c r="AM181" s="92"/>
      <c r="AN181" s="92"/>
      <c r="AO181" s="92"/>
      <c r="AP181" s="92"/>
      <c r="AQ181" s="92"/>
      <c r="AR181" s="92"/>
      <c r="AS181" s="92"/>
      <c r="AT181" s="92"/>
      <c r="AU181" s="92"/>
      <c r="AV181" s="92"/>
      <c r="AW181" s="92"/>
      <c r="AX181" s="92"/>
      <c r="AY181" s="92"/>
    </row>
    <row r="182" spans="22:51" ht="12.75">
      <c r="V182" s="185">
        <v>93.1</v>
      </c>
      <c r="W182" s="180">
        <v>0.04</v>
      </c>
      <c r="X182" s="180">
        <v>0.02</v>
      </c>
      <c r="Y182" s="180">
        <v>0</v>
      </c>
      <c r="Z182" s="181">
        <v>0.02</v>
      </c>
      <c r="AA182" s="180">
        <v>0</v>
      </c>
      <c r="AB182" s="186">
        <v>0</v>
      </c>
      <c r="AC182" s="92"/>
      <c r="AD182" s="92"/>
      <c r="AE182" s="92"/>
      <c r="AF182" s="92"/>
      <c r="AG182" s="92"/>
      <c r="AH182" s="92"/>
      <c r="AI182" s="92"/>
      <c r="AJ182" s="92"/>
      <c r="AK182" s="92"/>
      <c r="AL182" s="92"/>
      <c r="AM182" s="92"/>
      <c r="AN182" s="92"/>
      <c r="AO182" s="92"/>
      <c r="AP182" s="92"/>
      <c r="AQ182" s="92"/>
      <c r="AR182" s="92"/>
      <c r="AS182" s="92"/>
      <c r="AT182" s="92"/>
      <c r="AU182" s="92"/>
      <c r="AV182" s="92"/>
      <c r="AW182" s="92"/>
      <c r="AX182" s="92"/>
      <c r="AY182" s="92"/>
    </row>
    <row r="183" spans="22:51" ht="12.75">
      <c r="V183" s="185">
        <v>93.2</v>
      </c>
      <c r="W183" s="180">
        <v>0.04</v>
      </c>
      <c r="X183" s="180">
        <v>0.02</v>
      </c>
      <c r="Y183" s="180">
        <v>0</v>
      </c>
      <c r="Z183" s="181">
        <v>0.02</v>
      </c>
      <c r="AA183" s="180">
        <v>0</v>
      </c>
      <c r="AB183" s="186">
        <v>0</v>
      </c>
      <c r="AC183" s="92"/>
      <c r="AD183" s="92"/>
      <c r="AE183" s="92"/>
      <c r="AF183" s="92"/>
      <c r="AG183" s="92"/>
      <c r="AH183" s="92"/>
      <c r="AI183" s="92"/>
      <c r="AJ183" s="92"/>
      <c r="AK183" s="92"/>
      <c r="AL183" s="92"/>
      <c r="AM183" s="92"/>
      <c r="AN183" s="92"/>
      <c r="AO183" s="92"/>
      <c r="AP183" s="92"/>
      <c r="AQ183" s="92"/>
      <c r="AR183" s="92"/>
      <c r="AS183" s="92"/>
      <c r="AT183" s="92"/>
      <c r="AU183" s="92"/>
      <c r="AV183" s="92"/>
      <c r="AW183" s="92"/>
      <c r="AX183" s="92"/>
      <c r="AY183" s="92"/>
    </row>
    <row r="184" spans="22:51" ht="12.75">
      <c r="V184" s="185">
        <v>93.3</v>
      </c>
      <c r="W184" s="180">
        <v>0.04</v>
      </c>
      <c r="X184" s="180">
        <v>0.02</v>
      </c>
      <c r="Y184" s="180">
        <v>0</v>
      </c>
      <c r="Z184" s="181">
        <v>0.02</v>
      </c>
      <c r="AA184" s="180">
        <v>0</v>
      </c>
      <c r="AB184" s="186">
        <v>0</v>
      </c>
      <c r="AC184" s="92"/>
      <c r="AD184" s="92"/>
      <c r="AE184" s="92"/>
      <c r="AF184" s="92"/>
      <c r="AG184" s="92"/>
      <c r="AH184" s="92"/>
      <c r="AI184" s="92"/>
      <c r="AJ184" s="92"/>
      <c r="AK184" s="92"/>
      <c r="AL184" s="92"/>
      <c r="AM184" s="92"/>
      <c r="AN184" s="92"/>
      <c r="AO184" s="92"/>
      <c r="AP184" s="92"/>
      <c r="AQ184" s="92"/>
      <c r="AR184" s="92"/>
      <c r="AS184" s="92"/>
      <c r="AT184" s="92"/>
      <c r="AU184" s="92"/>
      <c r="AV184" s="92"/>
      <c r="AW184" s="92"/>
      <c r="AX184" s="92"/>
      <c r="AY184" s="92"/>
    </row>
    <row r="185" spans="22:51" ht="12.75">
      <c r="V185" s="185">
        <v>93.4</v>
      </c>
      <c r="W185" s="180">
        <v>0.04</v>
      </c>
      <c r="X185" s="180">
        <v>0.02</v>
      </c>
      <c r="Y185" s="180">
        <v>0</v>
      </c>
      <c r="Z185" s="181">
        <v>0.02</v>
      </c>
      <c r="AA185" s="180">
        <v>0</v>
      </c>
      <c r="AB185" s="186">
        <v>0</v>
      </c>
      <c r="AC185" s="92"/>
      <c r="AD185" s="92"/>
      <c r="AE185" s="92"/>
      <c r="AF185" s="92"/>
      <c r="AG185" s="92"/>
      <c r="AH185" s="92"/>
      <c r="AI185" s="92"/>
      <c r="AJ185" s="92"/>
      <c r="AK185" s="92"/>
      <c r="AL185" s="92"/>
      <c r="AM185" s="92"/>
      <c r="AN185" s="92"/>
      <c r="AO185" s="92"/>
      <c r="AP185" s="92"/>
      <c r="AQ185" s="92"/>
      <c r="AR185" s="92"/>
      <c r="AS185" s="92"/>
      <c r="AT185" s="92"/>
      <c r="AU185" s="92"/>
      <c r="AV185" s="92"/>
      <c r="AW185" s="92"/>
      <c r="AX185" s="92"/>
      <c r="AY185" s="92"/>
    </row>
    <row r="186" spans="22:51" ht="12.75">
      <c r="V186" s="185">
        <v>93.5</v>
      </c>
      <c r="W186" s="180">
        <v>0.04</v>
      </c>
      <c r="X186" s="180">
        <v>0.02</v>
      </c>
      <c r="Y186" s="180">
        <v>0</v>
      </c>
      <c r="Z186" s="181">
        <v>0.02</v>
      </c>
      <c r="AA186" s="180">
        <v>0</v>
      </c>
      <c r="AB186" s="186">
        <v>0</v>
      </c>
      <c r="AC186" s="92"/>
      <c r="AD186" s="92"/>
      <c r="AE186" s="92"/>
      <c r="AF186" s="92"/>
      <c r="AG186" s="92"/>
      <c r="AH186" s="92"/>
      <c r="AI186" s="92"/>
      <c r="AJ186" s="92"/>
      <c r="AK186" s="92"/>
      <c r="AL186" s="92"/>
      <c r="AM186" s="92"/>
      <c r="AN186" s="92"/>
      <c r="AO186" s="92"/>
      <c r="AP186" s="92"/>
      <c r="AQ186" s="92"/>
      <c r="AR186" s="92"/>
      <c r="AS186" s="92"/>
      <c r="AT186" s="92"/>
      <c r="AU186" s="92"/>
      <c r="AV186" s="92"/>
      <c r="AW186" s="92"/>
      <c r="AX186" s="92"/>
      <c r="AY186" s="92"/>
    </row>
    <row r="187" spans="22:51" ht="12.75">
      <c r="V187" s="185">
        <v>93.6</v>
      </c>
      <c r="W187" s="180">
        <v>0.04</v>
      </c>
      <c r="X187" s="180">
        <v>0.04</v>
      </c>
      <c r="Y187" s="180">
        <v>0</v>
      </c>
      <c r="Z187" s="181">
        <v>0.04</v>
      </c>
      <c r="AA187" s="180">
        <v>0</v>
      </c>
      <c r="AB187" s="186">
        <v>0</v>
      </c>
      <c r="AC187" s="92"/>
      <c r="AD187" s="92"/>
      <c r="AE187" s="92"/>
      <c r="AF187" s="92"/>
      <c r="AG187" s="92"/>
      <c r="AH187" s="92"/>
      <c r="AI187" s="92"/>
      <c r="AJ187" s="92"/>
      <c r="AK187" s="92"/>
      <c r="AL187" s="92"/>
      <c r="AM187" s="92"/>
      <c r="AN187" s="92"/>
      <c r="AO187" s="92"/>
      <c r="AP187" s="92"/>
      <c r="AQ187" s="92"/>
      <c r="AR187" s="92"/>
      <c r="AS187" s="92"/>
      <c r="AT187" s="92"/>
      <c r="AU187" s="92"/>
      <c r="AV187" s="92"/>
      <c r="AW187" s="92"/>
      <c r="AX187" s="92"/>
      <c r="AY187" s="92"/>
    </row>
    <row r="188" spans="22:51" ht="12.75">
      <c r="V188" s="185">
        <v>93.7</v>
      </c>
      <c r="W188" s="180">
        <v>0.04</v>
      </c>
      <c r="X188" s="180">
        <v>0.04</v>
      </c>
      <c r="Y188" s="180">
        <v>0</v>
      </c>
      <c r="Z188" s="181">
        <v>0.04</v>
      </c>
      <c r="AA188" s="180">
        <v>0</v>
      </c>
      <c r="AB188" s="186">
        <v>0</v>
      </c>
      <c r="AC188" s="92"/>
      <c r="AD188" s="92"/>
      <c r="AE188" s="92"/>
      <c r="AF188" s="92"/>
      <c r="AG188" s="92"/>
      <c r="AH188" s="92"/>
      <c r="AI188" s="92"/>
      <c r="AJ188" s="92"/>
      <c r="AK188" s="92"/>
      <c r="AL188" s="92"/>
      <c r="AM188" s="92"/>
      <c r="AN188" s="92"/>
      <c r="AO188" s="92"/>
      <c r="AP188" s="92"/>
      <c r="AQ188" s="92"/>
      <c r="AR188" s="92"/>
      <c r="AS188" s="92"/>
      <c r="AT188" s="92"/>
      <c r="AU188" s="92"/>
      <c r="AV188" s="92"/>
      <c r="AW188" s="92"/>
      <c r="AX188" s="92"/>
      <c r="AY188" s="92"/>
    </row>
    <row r="189" spans="7:28" ht="12.75">
      <c r="G189" s="7"/>
      <c r="H189" s="95"/>
      <c r="I189" s="96"/>
      <c r="J189" s="96"/>
      <c r="K189" s="18"/>
      <c r="L189" s="18"/>
      <c r="M189" s="18"/>
      <c r="N189" s="18"/>
      <c r="O189" s="18"/>
      <c r="P189" s="18"/>
      <c r="Q189" s="18"/>
      <c r="R189" s="7"/>
      <c r="S189" s="7"/>
      <c r="T189" s="7"/>
      <c r="U189" s="7"/>
      <c r="V189" s="239">
        <v>93.8</v>
      </c>
      <c r="W189" s="180">
        <v>0.04</v>
      </c>
      <c r="X189" s="180">
        <v>0.04</v>
      </c>
      <c r="Y189" s="180">
        <v>0</v>
      </c>
      <c r="Z189" s="181">
        <v>0.04</v>
      </c>
      <c r="AA189" s="180">
        <v>0</v>
      </c>
      <c r="AB189" s="186">
        <v>0</v>
      </c>
    </row>
    <row r="190" spans="7:28" ht="12.75">
      <c r="G190" s="7"/>
      <c r="H190" s="7"/>
      <c r="I190" s="7"/>
      <c r="J190" s="7"/>
      <c r="K190" s="7"/>
      <c r="L190" s="7"/>
      <c r="M190" s="7"/>
      <c r="N190" s="7"/>
      <c r="O190" s="7"/>
      <c r="P190" s="7"/>
      <c r="Q190" s="7"/>
      <c r="R190" s="7"/>
      <c r="S190" s="7"/>
      <c r="T190" s="7"/>
      <c r="U190" s="7"/>
      <c r="V190" s="185">
        <v>93.9</v>
      </c>
      <c r="W190" s="180">
        <v>0.04</v>
      </c>
      <c r="X190" s="180">
        <v>0.04</v>
      </c>
      <c r="Y190" s="180">
        <v>0</v>
      </c>
      <c r="Z190" s="181">
        <v>0.04</v>
      </c>
      <c r="AA190" s="180">
        <v>0</v>
      </c>
      <c r="AB190" s="186">
        <v>0</v>
      </c>
    </row>
    <row r="191" spans="7:28" ht="12.75">
      <c r="G191" s="7"/>
      <c r="H191" s="7"/>
      <c r="I191" s="7"/>
      <c r="J191" s="7"/>
      <c r="K191" s="54"/>
      <c r="L191" s="54"/>
      <c r="M191" s="54"/>
      <c r="N191" s="54"/>
      <c r="O191" s="54"/>
      <c r="P191" s="54"/>
      <c r="Q191" s="54"/>
      <c r="R191" s="54"/>
      <c r="S191" s="7"/>
      <c r="T191" s="7"/>
      <c r="U191" s="7"/>
      <c r="V191" s="238">
        <v>94</v>
      </c>
      <c r="W191" s="180">
        <v>0.04</v>
      </c>
      <c r="X191" s="180">
        <v>0.04</v>
      </c>
      <c r="Y191" s="180">
        <v>0</v>
      </c>
      <c r="Z191" s="181">
        <v>0.04</v>
      </c>
      <c r="AA191" s="180">
        <v>0</v>
      </c>
      <c r="AB191" s="186">
        <v>0</v>
      </c>
    </row>
    <row r="192" spans="7:28" ht="12.75">
      <c r="G192" s="54"/>
      <c r="H192" s="54"/>
      <c r="I192" s="37"/>
      <c r="J192" s="37"/>
      <c r="K192" s="54"/>
      <c r="L192" s="54"/>
      <c r="M192" s="54"/>
      <c r="N192" s="54"/>
      <c r="O192" s="54"/>
      <c r="P192" s="37"/>
      <c r="Q192" s="58"/>
      <c r="R192" s="58"/>
      <c r="S192" s="58"/>
      <c r="T192" s="58"/>
      <c r="U192" s="58"/>
      <c r="V192" s="238">
        <v>94.1</v>
      </c>
      <c r="W192" s="180">
        <v>0.04</v>
      </c>
      <c r="X192" s="180">
        <v>0.04</v>
      </c>
      <c r="Y192" s="180">
        <v>0</v>
      </c>
      <c r="Z192" s="181">
        <v>0.04</v>
      </c>
      <c r="AA192" s="180">
        <v>0.02</v>
      </c>
      <c r="AB192" s="186">
        <v>0</v>
      </c>
    </row>
    <row r="193" spans="7:28" ht="12.75">
      <c r="G193" s="7"/>
      <c r="H193" s="7"/>
      <c r="I193" s="7"/>
      <c r="J193" s="7"/>
      <c r="K193" s="50"/>
      <c r="L193" s="50"/>
      <c r="M193" s="50"/>
      <c r="N193" s="97"/>
      <c r="O193" s="7"/>
      <c r="P193" s="7"/>
      <c r="Q193" s="23"/>
      <c r="R193" s="63"/>
      <c r="S193" s="23"/>
      <c r="T193" s="23"/>
      <c r="U193" s="23"/>
      <c r="V193" s="238">
        <v>94.2</v>
      </c>
      <c r="W193" s="180">
        <v>0.04</v>
      </c>
      <c r="X193" s="180">
        <v>0.04</v>
      </c>
      <c r="Y193" s="180">
        <v>0</v>
      </c>
      <c r="Z193" s="181">
        <v>0.04</v>
      </c>
      <c r="AA193" s="180">
        <v>0.02</v>
      </c>
      <c r="AB193" s="186">
        <v>0</v>
      </c>
    </row>
    <row r="194" spans="7:28" ht="12.75">
      <c r="G194" s="50"/>
      <c r="H194" s="50"/>
      <c r="I194" s="64"/>
      <c r="J194" s="64"/>
      <c r="K194" s="64"/>
      <c r="L194" s="64"/>
      <c r="M194" s="64"/>
      <c r="N194" s="98"/>
      <c r="O194" s="50"/>
      <c r="P194" s="50"/>
      <c r="Q194" s="23"/>
      <c r="R194" s="67"/>
      <c r="S194" s="64"/>
      <c r="T194" s="64"/>
      <c r="U194" s="64"/>
      <c r="V194" s="238">
        <v>94.3</v>
      </c>
      <c r="W194" s="180">
        <v>0.04</v>
      </c>
      <c r="X194" s="180">
        <v>0.04</v>
      </c>
      <c r="Y194" s="180">
        <v>0</v>
      </c>
      <c r="Z194" s="181">
        <v>0.04</v>
      </c>
      <c r="AA194" s="180">
        <v>0.02</v>
      </c>
      <c r="AB194" s="186">
        <v>0</v>
      </c>
    </row>
    <row r="195" spans="7:28" ht="12.75">
      <c r="G195" s="50"/>
      <c r="H195" s="50"/>
      <c r="I195" s="64"/>
      <c r="J195" s="64"/>
      <c r="K195" s="50"/>
      <c r="L195" s="50"/>
      <c r="M195" s="64"/>
      <c r="N195" s="7"/>
      <c r="O195" s="50"/>
      <c r="P195" s="50"/>
      <c r="Q195" s="23"/>
      <c r="R195" s="67"/>
      <c r="S195" s="7"/>
      <c r="T195" s="7"/>
      <c r="U195" s="7"/>
      <c r="V195" s="185">
        <v>94.3999999999999</v>
      </c>
      <c r="W195" s="180">
        <v>0.04</v>
      </c>
      <c r="X195" s="180">
        <v>0.04</v>
      </c>
      <c r="Y195" s="180">
        <v>0</v>
      </c>
      <c r="Z195" s="181">
        <v>0.04</v>
      </c>
      <c r="AA195" s="180">
        <v>0.02</v>
      </c>
      <c r="AB195" s="186">
        <v>0</v>
      </c>
    </row>
    <row r="196" spans="7:28" ht="12.75">
      <c r="G196" s="54"/>
      <c r="H196" s="99"/>
      <c r="I196" s="64"/>
      <c r="J196" s="64"/>
      <c r="K196" s="18"/>
      <c r="L196" s="18"/>
      <c r="M196" s="64"/>
      <c r="N196" s="7"/>
      <c r="O196" s="50"/>
      <c r="P196" s="50"/>
      <c r="Q196" s="23"/>
      <c r="R196" s="67"/>
      <c r="S196" s="7"/>
      <c r="T196" s="7"/>
      <c r="U196" s="7"/>
      <c r="V196" s="185">
        <v>94.4999999999999</v>
      </c>
      <c r="W196" s="180">
        <v>0.04</v>
      </c>
      <c r="X196" s="180">
        <v>0.04</v>
      </c>
      <c r="Y196" s="180">
        <v>0</v>
      </c>
      <c r="Z196" s="181">
        <v>0.04</v>
      </c>
      <c r="AA196" s="180">
        <v>0.02</v>
      </c>
      <c r="AB196" s="186">
        <v>0</v>
      </c>
    </row>
    <row r="197" spans="7:28" ht="12.75">
      <c r="G197" s="54"/>
      <c r="H197" s="54"/>
      <c r="I197" s="64"/>
      <c r="J197" s="64"/>
      <c r="K197" s="18"/>
      <c r="L197" s="18"/>
      <c r="M197" s="64"/>
      <c r="N197" s="7"/>
      <c r="O197" s="50"/>
      <c r="P197" s="50"/>
      <c r="Q197" s="23"/>
      <c r="R197" s="67"/>
      <c r="S197" s="7"/>
      <c r="T197" s="7"/>
      <c r="U197" s="7"/>
      <c r="V197" s="185">
        <v>94.5999999999999</v>
      </c>
      <c r="W197" s="180">
        <v>0.04</v>
      </c>
      <c r="X197" s="180">
        <v>0.04</v>
      </c>
      <c r="Y197" s="180">
        <v>0</v>
      </c>
      <c r="Z197" s="181">
        <v>0.04</v>
      </c>
      <c r="AA197" s="180">
        <v>0.04</v>
      </c>
      <c r="AB197" s="186">
        <v>0</v>
      </c>
    </row>
    <row r="198" spans="7:28" ht="12.75">
      <c r="G198" s="50"/>
      <c r="H198" s="50"/>
      <c r="I198" s="64"/>
      <c r="J198" s="64"/>
      <c r="K198" s="64"/>
      <c r="L198" s="64"/>
      <c r="M198" s="64"/>
      <c r="N198" s="98"/>
      <c r="O198" s="50"/>
      <c r="P198" s="50"/>
      <c r="Q198" s="23"/>
      <c r="R198" s="67"/>
      <c r="S198" s="7"/>
      <c r="T198" s="7"/>
      <c r="U198" s="7"/>
      <c r="V198" s="185">
        <v>94.6999999999999</v>
      </c>
      <c r="W198" s="180">
        <v>0.04</v>
      </c>
      <c r="X198" s="180">
        <v>0.04</v>
      </c>
      <c r="Y198" s="180">
        <v>0</v>
      </c>
      <c r="Z198" s="181">
        <v>0.04</v>
      </c>
      <c r="AA198" s="180">
        <v>0.04</v>
      </c>
      <c r="AB198" s="186">
        <v>0</v>
      </c>
    </row>
    <row r="199" spans="7:28" ht="12.75">
      <c r="G199" s="50"/>
      <c r="H199" s="50"/>
      <c r="I199" s="64"/>
      <c r="J199" s="64"/>
      <c r="K199" s="50"/>
      <c r="L199" s="50"/>
      <c r="M199" s="64"/>
      <c r="N199" s="7"/>
      <c r="O199" s="50"/>
      <c r="P199" s="50"/>
      <c r="Q199" s="23"/>
      <c r="R199" s="67"/>
      <c r="S199" s="7"/>
      <c r="T199" s="7"/>
      <c r="U199" s="7"/>
      <c r="V199" s="185">
        <v>94.7999999999999</v>
      </c>
      <c r="W199" s="180">
        <v>0.04</v>
      </c>
      <c r="X199" s="180">
        <v>0.04</v>
      </c>
      <c r="Y199" s="180">
        <v>0</v>
      </c>
      <c r="Z199" s="181">
        <v>0.04</v>
      </c>
      <c r="AA199" s="180">
        <v>0.04</v>
      </c>
      <c r="AB199" s="186">
        <v>0</v>
      </c>
    </row>
    <row r="200" spans="7:28" ht="12.75">
      <c r="G200" s="99"/>
      <c r="H200" s="99"/>
      <c r="I200" s="64"/>
      <c r="J200" s="64"/>
      <c r="K200" s="18"/>
      <c r="L200" s="18"/>
      <c r="M200" s="64"/>
      <c r="N200" s="97"/>
      <c r="O200" s="50"/>
      <c r="P200" s="50"/>
      <c r="Q200" s="23"/>
      <c r="R200" s="67"/>
      <c r="S200" s="7"/>
      <c r="T200" s="7"/>
      <c r="U200" s="7"/>
      <c r="V200" s="185">
        <v>94.8999999999999</v>
      </c>
      <c r="W200" s="180">
        <v>0.04</v>
      </c>
      <c r="X200" s="180">
        <v>0.04</v>
      </c>
      <c r="Y200" s="180">
        <v>0</v>
      </c>
      <c r="Z200" s="181">
        <v>0.04</v>
      </c>
      <c r="AA200" s="180">
        <v>0.04</v>
      </c>
      <c r="AB200" s="186">
        <v>0</v>
      </c>
    </row>
    <row r="201" spans="7:28" ht="12.75">
      <c r="G201" s="50"/>
      <c r="H201" s="54"/>
      <c r="I201" s="64"/>
      <c r="J201" s="64"/>
      <c r="K201" s="18"/>
      <c r="L201" s="18"/>
      <c r="M201" s="64"/>
      <c r="N201" s="7"/>
      <c r="O201" s="50"/>
      <c r="P201" s="50"/>
      <c r="Q201" s="23"/>
      <c r="R201" s="67"/>
      <c r="S201" s="7"/>
      <c r="T201" s="7"/>
      <c r="U201" s="7"/>
      <c r="V201" s="185">
        <v>94.9999999999999</v>
      </c>
      <c r="W201" s="180">
        <v>0.04</v>
      </c>
      <c r="X201" s="180">
        <v>0.04</v>
      </c>
      <c r="Y201" s="180">
        <v>0</v>
      </c>
      <c r="Z201" s="181">
        <v>0.04</v>
      </c>
      <c r="AA201" s="180">
        <v>0.04</v>
      </c>
      <c r="AB201" s="186">
        <v>0</v>
      </c>
    </row>
    <row r="202" spans="7:28" ht="12.75">
      <c r="G202" s="50"/>
      <c r="H202" s="50"/>
      <c r="I202" s="64"/>
      <c r="J202" s="64"/>
      <c r="K202" s="64"/>
      <c r="L202" s="64"/>
      <c r="M202" s="64"/>
      <c r="N202" s="98"/>
      <c r="O202" s="50"/>
      <c r="P202" s="50"/>
      <c r="Q202" s="23"/>
      <c r="R202" s="67"/>
      <c r="S202" s="7"/>
      <c r="T202" s="7"/>
      <c r="U202" s="7"/>
      <c r="V202" s="185">
        <v>95.0999999999999</v>
      </c>
      <c r="W202" s="180">
        <v>0.04</v>
      </c>
      <c r="X202" s="180">
        <v>0.04</v>
      </c>
      <c r="Y202" s="180">
        <v>0</v>
      </c>
      <c r="Z202" s="181">
        <v>0.04</v>
      </c>
      <c r="AA202" s="180">
        <v>0.04</v>
      </c>
      <c r="AB202" s="186">
        <v>0</v>
      </c>
    </row>
    <row r="203" spans="7:28" ht="12.75">
      <c r="G203" s="50"/>
      <c r="H203" s="50"/>
      <c r="I203" s="64"/>
      <c r="J203" s="64"/>
      <c r="K203" s="50"/>
      <c r="L203" s="50"/>
      <c r="M203" s="64"/>
      <c r="N203" s="7"/>
      <c r="O203" s="50"/>
      <c r="P203" s="50"/>
      <c r="Q203" s="23"/>
      <c r="R203" s="67"/>
      <c r="S203" s="7"/>
      <c r="T203" s="7"/>
      <c r="U203" s="7"/>
      <c r="V203" s="185">
        <v>95.1999999999999</v>
      </c>
      <c r="W203" s="180">
        <v>0.04</v>
      </c>
      <c r="X203" s="180">
        <v>0.04</v>
      </c>
      <c r="Y203" s="180">
        <v>0</v>
      </c>
      <c r="Z203" s="181">
        <v>0.04</v>
      </c>
      <c r="AA203" s="180">
        <v>0.04</v>
      </c>
      <c r="AB203" s="186">
        <v>0</v>
      </c>
    </row>
    <row r="204" spans="7:28" ht="12.75">
      <c r="G204" s="99"/>
      <c r="H204" s="99"/>
      <c r="I204" s="64"/>
      <c r="J204" s="64"/>
      <c r="K204" s="18"/>
      <c r="L204" s="18"/>
      <c r="M204" s="64"/>
      <c r="N204" s="7"/>
      <c r="O204" s="50"/>
      <c r="P204" s="50"/>
      <c r="Q204" s="23"/>
      <c r="R204" s="67"/>
      <c r="S204" s="7"/>
      <c r="T204" s="7"/>
      <c r="U204" s="7"/>
      <c r="V204" s="185">
        <v>95.2999999999999</v>
      </c>
      <c r="W204" s="180">
        <v>0.04</v>
      </c>
      <c r="X204" s="180">
        <v>0.04</v>
      </c>
      <c r="Y204" s="180">
        <v>0</v>
      </c>
      <c r="Z204" s="181">
        <v>0.04</v>
      </c>
      <c r="AA204" s="180">
        <v>0.04</v>
      </c>
      <c r="AB204" s="186">
        <v>0</v>
      </c>
    </row>
    <row r="205" spans="7:28" ht="12.75">
      <c r="G205" s="50"/>
      <c r="H205" s="54"/>
      <c r="I205" s="64"/>
      <c r="J205" s="64"/>
      <c r="K205" s="18"/>
      <c r="L205" s="18"/>
      <c r="M205" s="64"/>
      <c r="N205" s="7"/>
      <c r="O205" s="50"/>
      <c r="P205" s="50"/>
      <c r="Q205" s="23"/>
      <c r="R205" s="67"/>
      <c r="S205" s="7"/>
      <c r="T205" s="7"/>
      <c r="U205" s="7"/>
      <c r="V205" s="238">
        <v>95.3999999999999</v>
      </c>
      <c r="W205" s="180">
        <v>0.04</v>
      </c>
      <c r="X205" s="180">
        <v>0.04</v>
      </c>
      <c r="Y205" s="180">
        <v>0</v>
      </c>
      <c r="Z205" s="181">
        <v>0.04</v>
      </c>
      <c r="AA205" s="180">
        <v>0.04</v>
      </c>
      <c r="AB205" s="186">
        <v>0</v>
      </c>
    </row>
    <row r="206" spans="7:28" ht="12.75">
      <c r="G206" s="50"/>
      <c r="H206" s="50"/>
      <c r="I206" s="64"/>
      <c r="J206" s="64"/>
      <c r="K206" s="64"/>
      <c r="L206" s="64"/>
      <c r="M206" s="64"/>
      <c r="N206" s="98"/>
      <c r="O206" s="50"/>
      <c r="P206" s="50"/>
      <c r="Q206" s="23"/>
      <c r="R206" s="67"/>
      <c r="S206" s="7"/>
      <c r="T206" s="7"/>
      <c r="U206" s="7"/>
      <c r="V206" s="238">
        <v>95.4999999999999</v>
      </c>
      <c r="W206" s="180">
        <v>0.04</v>
      </c>
      <c r="X206" s="180">
        <v>0.04</v>
      </c>
      <c r="Y206" s="180">
        <v>0</v>
      </c>
      <c r="Z206" s="181">
        <v>0.04</v>
      </c>
      <c r="AA206" s="180">
        <v>0.04</v>
      </c>
      <c r="AB206" s="186">
        <v>0</v>
      </c>
    </row>
    <row r="207" spans="7:28" ht="12.75">
      <c r="G207" s="50"/>
      <c r="H207" s="50"/>
      <c r="I207" s="64"/>
      <c r="J207" s="64"/>
      <c r="K207" s="50"/>
      <c r="L207" s="50"/>
      <c r="M207" s="64"/>
      <c r="N207" s="7"/>
      <c r="O207" s="50"/>
      <c r="P207" s="50"/>
      <c r="Q207" s="23"/>
      <c r="R207" s="67"/>
      <c r="S207" s="7"/>
      <c r="T207" s="7"/>
      <c r="U207" s="7"/>
      <c r="V207" s="238">
        <v>95.5999999999999</v>
      </c>
      <c r="W207" s="180">
        <v>0.04</v>
      </c>
      <c r="X207" s="180">
        <v>0.04</v>
      </c>
      <c r="Y207" s="180">
        <v>0</v>
      </c>
      <c r="Z207" s="181">
        <v>0.04</v>
      </c>
      <c r="AA207" s="180">
        <v>0.04</v>
      </c>
      <c r="AB207" s="186">
        <v>0</v>
      </c>
    </row>
    <row r="208" spans="7:28" ht="12.75">
      <c r="G208" s="99"/>
      <c r="H208" s="99"/>
      <c r="I208" s="64"/>
      <c r="J208" s="64"/>
      <c r="K208" s="18"/>
      <c r="L208" s="18"/>
      <c r="M208" s="64"/>
      <c r="N208" s="97"/>
      <c r="O208" s="50"/>
      <c r="P208" s="50"/>
      <c r="Q208" s="23"/>
      <c r="R208" s="67"/>
      <c r="S208" s="7"/>
      <c r="T208" s="7"/>
      <c r="U208" s="7"/>
      <c r="V208" s="238">
        <v>95.6999999999998</v>
      </c>
      <c r="W208" s="180">
        <v>0.04</v>
      </c>
      <c r="X208" s="180">
        <v>0.04</v>
      </c>
      <c r="Y208" s="180">
        <v>0</v>
      </c>
      <c r="Z208" s="181">
        <v>0.04</v>
      </c>
      <c r="AA208" s="180">
        <v>0.04</v>
      </c>
      <c r="AB208" s="186">
        <v>0</v>
      </c>
    </row>
    <row r="209" spans="7:28" ht="12.75">
      <c r="G209" s="50"/>
      <c r="H209" s="7"/>
      <c r="I209" s="7"/>
      <c r="J209" s="7"/>
      <c r="K209" s="18"/>
      <c r="L209" s="18"/>
      <c r="M209" s="64"/>
      <c r="N209" s="7"/>
      <c r="O209" s="50"/>
      <c r="P209" s="50"/>
      <c r="Q209" s="23"/>
      <c r="R209" s="67"/>
      <c r="S209" s="7"/>
      <c r="T209" s="7"/>
      <c r="U209" s="7"/>
      <c r="V209" s="185">
        <v>95.7999999999998</v>
      </c>
      <c r="W209" s="180">
        <v>0.04</v>
      </c>
      <c r="X209" s="180">
        <v>0.04</v>
      </c>
      <c r="Y209" s="180">
        <v>0</v>
      </c>
      <c r="Z209" s="181">
        <v>0.04</v>
      </c>
      <c r="AA209" s="180">
        <v>0.04</v>
      </c>
      <c r="AB209" s="186">
        <v>0</v>
      </c>
    </row>
    <row r="210" spans="7:28" ht="12.75">
      <c r="G210" s="50"/>
      <c r="H210" s="50"/>
      <c r="I210" s="64"/>
      <c r="J210" s="64"/>
      <c r="K210" s="64"/>
      <c r="L210" s="64"/>
      <c r="M210" s="64"/>
      <c r="N210" s="98"/>
      <c r="O210" s="50"/>
      <c r="P210" s="50"/>
      <c r="Q210" s="23"/>
      <c r="R210" s="67"/>
      <c r="S210" s="7"/>
      <c r="T210" s="7"/>
      <c r="U210" s="7"/>
      <c r="V210" s="185">
        <v>95.8999999999998</v>
      </c>
      <c r="W210" s="180">
        <v>0.04</v>
      </c>
      <c r="X210" s="180">
        <v>0.04</v>
      </c>
      <c r="Y210" s="180">
        <v>0</v>
      </c>
      <c r="Z210" s="181">
        <v>0.04</v>
      </c>
      <c r="AA210" s="180">
        <v>0.04</v>
      </c>
      <c r="AB210" s="186">
        <v>0</v>
      </c>
    </row>
    <row r="211" spans="7:28" ht="12.75">
      <c r="G211" s="50"/>
      <c r="H211" s="50"/>
      <c r="I211" s="64"/>
      <c r="J211" s="64"/>
      <c r="K211" s="50"/>
      <c r="L211" s="50"/>
      <c r="M211" s="64"/>
      <c r="N211" s="7"/>
      <c r="O211" s="50"/>
      <c r="P211" s="50"/>
      <c r="Q211" s="23"/>
      <c r="R211" s="67"/>
      <c r="S211" s="7"/>
      <c r="T211" s="7"/>
      <c r="U211" s="7"/>
      <c r="V211" s="185">
        <v>95.9999999999998</v>
      </c>
      <c r="W211" s="180">
        <v>0.04</v>
      </c>
      <c r="X211" s="180">
        <v>0.04</v>
      </c>
      <c r="Y211" s="180">
        <v>0</v>
      </c>
      <c r="Z211" s="181">
        <v>0.04</v>
      </c>
      <c r="AA211" s="180">
        <v>0.04</v>
      </c>
      <c r="AB211" s="186">
        <v>0</v>
      </c>
    </row>
    <row r="212" spans="7:28" ht="12.75">
      <c r="G212" s="99"/>
      <c r="H212" s="99"/>
      <c r="I212" s="64"/>
      <c r="J212" s="64"/>
      <c r="K212" s="18"/>
      <c r="L212" s="18"/>
      <c r="M212" s="64"/>
      <c r="N212" s="7"/>
      <c r="O212" s="50"/>
      <c r="P212" s="50"/>
      <c r="Q212" s="23"/>
      <c r="R212" s="67"/>
      <c r="S212" s="7"/>
      <c r="T212" s="7"/>
      <c r="U212" s="7"/>
      <c r="V212" s="185">
        <v>96.0999999999998</v>
      </c>
      <c r="W212" s="180">
        <v>0.04</v>
      </c>
      <c r="X212" s="180">
        <v>0.04</v>
      </c>
      <c r="Y212" s="180">
        <v>0</v>
      </c>
      <c r="Z212" s="181">
        <v>0.04</v>
      </c>
      <c r="AA212" s="180">
        <v>0.04</v>
      </c>
      <c r="AB212" s="186">
        <v>0</v>
      </c>
    </row>
    <row r="213" spans="7:28" ht="12.75">
      <c r="G213" s="50"/>
      <c r="H213" s="54"/>
      <c r="I213" s="64"/>
      <c r="J213" s="64"/>
      <c r="K213" s="18"/>
      <c r="L213" s="18"/>
      <c r="M213" s="64"/>
      <c r="N213" s="7"/>
      <c r="O213" s="50"/>
      <c r="P213" s="50"/>
      <c r="Q213" s="23"/>
      <c r="R213" s="67"/>
      <c r="S213" s="7"/>
      <c r="T213" s="7"/>
      <c r="U213" s="7"/>
      <c r="V213" s="185">
        <v>96.1999999999998</v>
      </c>
      <c r="W213" s="180">
        <v>0.04</v>
      </c>
      <c r="X213" s="180">
        <v>0.04</v>
      </c>
      <c r="Y213" s="180">
        <v>0</v>
      </c>
      <c r="Z213" s="181">
        <v>0.04</v>
      </c>
      <c r="AA213" s="180">
        <v>0.04</v>
      </c>
      <c r="AB213" s="186">
        <v>0</v>
      </c>
    </row>
    <row r="214" spans="7:28" ht="12.75">
      <c r="G214" s="50"/>
      <c r="H214" s="50"/>
      <c r="I214" s="64"/>
      <c r="J214" s="64"/>
      <c r="K214" s="64"/>
      <c r="L214" s="64"/>
      <c r="M214" s="64"/>
      <c r="N214" s="98"/>
      <c r="O214" s="50"/>
      <c r="P214" s="50"/>
      <c r="Q214" s="23"/>
      <c r="R214" s="67"/>
      <c r="S214" s="7"/>
      <c r="T214" s="7"/>
      <c r="U214" s="7"/>
      <c r="V214" s="185">
        <v>96.2999999999998</v>
      </c>
      <c r="W214" s="180">
        <v>0.04</v>
      </c>
      <c r="X214" s="180">
        <v>0.04</v>
      </c>
      <c r="Y214" s="180">
        <v>0</v>
      </c>
      <c r="Z214" s="181">
        <v>0.04</v>
      </c>
      <c r="AA214" s="180">
        <v>0.04</v>
      </c>
      <c r="AB214" s="186">
        <v>0</v>
      </c>
    </row>
    <row r="215" spans="7:28" ht="12.75">
      <c r="G215" s="50"/>
      <c r="H215" s="50"/>
      <c r="I215" s="64"/>
      <c r="J215" s="64"/>
      <c r="K215" s="50"/>
      <c r="L215" s="50"/>
      <c r="M215" s="64"/>
      <c r="N215" s="7"/>
      <c r="O215" s="50"/>
      <c r="P215" s="50"/>
      <c r="Q215" s="23"/>
      <c r="R215" s="67"/>
      <c r="S215" s="7"/>
      <c r="T215" s="7"/>
      <c r="U215" s="7"/>
      <c r="V215" s="185">
        <v>96.3999999999998</v>
      </c>
      <c r="W215" s="180">
        <v>0.04</v>
      </c>
      <c r="X215" s="180">
        <v>0.04</v>
      </c>
      <c r="Y215" s="180">
        <v>0</v>
      </c>
      <c r="Z215" s="181">
        <v>0.04</v>
      </c>
      <c r="AA215" s="180">
        <v>0.04</v>
      </c>
      <c r="AB215" s="186">
        <v>0</v>
      </c>
    </row>
    <row r="216" spans="7:28" ht="12.75">
      <c r="G216" s="99"/>
      <c r="H216" s="99"/>
      <c r="I216" s="64"/>
      <c r="J216" s="64"/>
      <c r="K216" s="18"/>
      <c r="L216" s="18"/>
      <c r="M216" s="64"/>
      <c r="N216" s="7"/>
      <c r="O216" s="50"/>
      <c r="P216" s="50"/>
      <c r="Q216" s="23"/>
      <c r="R216" s="67"/>
      <c r="S216" s="7"/>
      <c r="T216" s="7"/>
      <c r="U216" s="7"/>
      <c r="V216" s="185">
        <v>96.4999999999998</v>
      </c>
      <c r="W216" s="180">
        <v>0.04</v>
      </c>
      <c r="X216" s="180">
        <v>0.04</v>
      </c>
      <c r="Y216" s="180">
        <v>0</v>
      </c>
      <c r="Z216" s="181">
        <v>0.04</v>
      </c>
      <c r="AA216" s="180">
        <v>0.04</v>
      </c>
      <c r="AB216" s="186">
        <v>0</v>
      </c>
    </row>
    <row r="217" spans="7:28" ht="12.75">
      <c r="G217" s="50"/>
      <c r="H217" s="54"/>
      <c r="I217" s="64"/>
      <c r="J217" s="64"/>
      <c r="K217" s="18"/>
      <c r="L217" s="18"/>
      <c r="M217" s="64"/>
      <c r="N217" s="50"/>
      <c r="O217" s="50"/>
      <c r="P217" s="50"/>
      <c r="Q217" s="23"/>
      <c r="R217" s="67"/>
      <c r="S217" s="7"/>
      <c r="T217" s="7"/>
      <c r="U217" s="7"/>
      <c r="V217" s="185">
        <v>96.5999999999998</v>
      </c>
      <c r="W217" s="180">
        <v>0.04</v>
      </c>
      <c r="X217" s="180">
        <v>0.04</v>
      </c>
      <c r="Y217" s="180">
        <v>0</v>
      </c>
      <c r="Z217" s="181">
        <v>0.04</v>
      </c>
      <c r="AA217" s="180">
        <v>0.04</v>
      </c>
      <c r="AB217" s="186">
        <v>0</v>
      </c>
    </row>
    <row r="218" spans="7:28" ht="12.75">
      <c r="G218" s="50"/>
      <c r="H218" s="50"/>
      <c r="I218" s="64"/>
      <c r="J218" s="64"/>
      <c r="K218" s="64"/>
      <c r="L218" s="64"/>
      <c r="M218" s="64"/>
      <c r="N218" s="98"/>
      <c r="O218" s="50"/>
      <c r="P218" s="50"/>
      <c r="Q218" s="23"/>
      <c r="R218" s="67"/>
      <c r="S218" s="7"/>
      <c r="T218" s="7"/>
      <c r="U218" s="7"/>
      <c r="V218" s="185">
        <v>96.6999999999998</v>
      </c>
      <c r="W218" s="180">
        <v>0.04</v>
      </c>
      <c r="X218" s="180">
        <v>0.04</v>
      </c>
      <c r="Y218" s="180">
        <v>0</v>
      </c>
      <c r="Z218" s="181">
        <v>0.04</v>
      </c>
      <c r="AA218" s="180">
        <v>0.04</v>
      </c>
      <c r="AB218" s="186">
        <v>0</v>
      </c>
    </row>
    <row r="219" spans="7:28" ht="12.75">
      <c r="G219" s="50"/>
      <c r="H219" s="50"/>
      <c r="I219" s="64"/>
      <c r="J219" s="64"/>
      <c r="K219" s="50"/>
      <c r="L219" s="50"/>
      <c r="M219" s="64"/>
      <c r="N219" s="7"/>
      <c r="O219" s="50"/>
      <c r="P219" s="50"/>
      <c r="Q219" s="23"/>
      <c r="R219" s="67"/>
      <c r="S219" s="7"/>
      <c r="T219" s="7"/>
      <c r="U219" s="7"/>
      <c r="V219" s="238">
        <v>96.7999999999998</v>
      </c>
      <c r="W219" s="180">
        <v>0.04</v>
      </c>
      <c r="X219" s="180">
        <v>0.04</v>
      </c>
      <c r="Y219" s="180">
        <v>0</v>
      </c>
      <c r="Z219" s="181">
        <v>0.04</v>
      </c>
      <c r="AA219" s="180">
        <v>0.04</v>
      </c>
      <c r="AB219" s="186">
        <v>0</v>
      </c>
    </row>
    <row r="220" spans="7:28" ht="12.75">
      <c r="G220" s="99"/>
      <c r="H220" s="99"/>
      <c r="I220" s="64"/>
      <c r="J220" s="64"/>
      <c r="K220" s="18"/>
      <c r="L220" s="18"/>
      <c r="M220" s="64"/>
      <c r="N220" s="18"/>
      <c r="O220" s="50"/>
      <c r="P220" s="50"/>
      <c r="Q220" s="23"/>
      <c r="R220" s="67"/>
      <c r="S220" s="7"/>
      <c r="T220" s="7"/>
      <c r="U220" s="7"/>
      <c r="V220" s="238">
        <v>96.8999999999998</v>
      </c>
      <c r="W220" s="180">
        <v>0.04</v>
      </c>
      <c r="X220" s="180">
        <v>0.04</v>
      </c>
      <c r="Y220" s="180">
        <v>0</v>
      </c>
      <c r="Z220" s="181">
        <v>0.04</v>
      </c>
      <c r="AA220" s="180">
        <v>0.04</v>
      </c>
      <c r="AB220" s="186">
        <v>0</v>
      </c>
    </row>
    <row r="221" spans="7:28" ht="12.75">
      <c r="G221" s="7"/>
      <c r="H221" s="7"/>
      <c r="I221" s="7"/>
      <c r="J221" s="7"/>
      <c r="K221" s="7"/>
      <c r="L221" s="7"/>
      <c r="M221" s="7"/>
      <c r="N221" s="7"/>
      <c r="O221" s="7"/>
      <c r="P221" s="7"/>
      <c r="Q221" s="7"/>
      <c r="R221" s="7"/>
      <c r="S221" s="7"/>
      <c r="T221" s="7"/>
      <c r="U221" s="7"/>
      <c r="V221" s="238">
        <v>96.9999999999998</v>
      </c>
      <c r="W221" s="180">
        <v>0.04</v>
      </c>
      <c r="X221" s="180">
        <v>0.04</v>
      </c>
      <c r="Y221" s="180">
        <v>0</v>
      </c>
      <c r="Z221" s="181">
        <v>0.04</v>
      </c>
      <c r="AA221" s="180">
        <v>0.04</v>
      </c>
      <c r="AB221" s="186">
        <v>0</v>
      </c>
    </row>
    <row r="222" spans="7:28" ht="12.75">
      <c r="G222" s="7"/>
      <c r="H222" s="37"/>
      <c r="I222" s="64"/>
      <c r="J222" s="64"/>
      <c r="K222" s="37"/>
      <c r="L222" s="37"/>
      <c r="M222" s="64"/>
      <c r="N222" s="7"/>
      <c r="O222" s="100"/>
      <c r="P222" s="50"/>
      <c r="Q222" s="7"/>
      <c r="R222" s="101"/>
      <c r="S222" s="7"/>
      <c r="T222" s="7"/>
      <c r="U222" s="7"/>
      <c r="V222" s="238">
        <v>97.0999999999998</v>
      </c>
      <c r="W222" s="180">
        <v>0.04</v>
      </c>
      <c r="X222" s="180">
        <v>0.04</v>
      </c>
      <c r="Y222" s="180">
        <v>0</v>
      </c>
      <c r="Z222" s="181">
        <v>0.04</v>
      </c>
      <c r="AA222" s="180">
        <v>0.04</v>
      </c>
      <c r="AB222" s="186">
        <v>0</v>
      </c>
    </row>
    <row r="223" spans="7:28" ht="12.75">
      <c r="G223" s="7"/>
      <c r="H223" s="7"/>
      <c r="I223" s="7"/>
      <c r="J223" s="7"/>
      <c r="K223" s="7"/>
      <c r="L223" s="7"/>
      <c r="M223" s="7"/>
      <c r="N223" s="7"/>
      <c r="O223" s="7"/>
      <c r="P223" s="7"/>
      <c r="Q223" s="7"/>
      <c r="R223" s="7"/>
      <c r="S223" s="7"/>
      <c r="T223" s="7"/>
      <c r="U223" s="7"/>
      <c r="V223" s="185">
        <v>97.1999999999998</v>
      </c>
      <c r="W223" s="180">
        <v>0.04</v>
      </c>
      <c r="X223" s="180">
        <v>0.04</v>
      </c>
      <c r="Y223" s="180">
        <v>0</v>
      </c>
      <c r="Z223" s="181">
        <v>0.04</v>
      </c>
      <c r="AA223" s="180">
        <v>0.04</v>
      </c>
      <c r="AB223" s="186">
        <v>0</v>
      </c>
    </row>
    <row r="224" spans="7:28" ht="12.75">
      <c r="G224" s="7"/>
      <c r="H224" s="37"/>
      <c r="I224" s="7"/>
      <c r="J224" s="7"/>
      <c r="K224" s="7"/>
      <c r="L224" s="7"/>
      <c r="M224" s="7"/>
      <c r="N224" s="7"/>
      <c r="O224" s="7"/>
      <c r="P224" s="102"/>
      <c r="Q224" s="7"/>
      <c r="R224" s="7"/>
      <c r="S224" s="7"/>
      <c r="T224" s="7"/>
      <c r="U224" s="7"/>
      <c r="V224" s="185">
        <v>97.2999999999998</v>
      </c>
      <c r="W224" s="180">
        <v>0.04</v>
      </c>
      <c r="X224" s="180">
        <v>0.04</v>
      </c>
      <c r="Y224" s="180">
        <v>0</v>
      </c>
      <c r="Z224" s="181">
        <v>0.04</v>
      </c>
      <c r="AA224" s="180">
        <v>0.04</v>
      </c>
      <c r="AB224" s="186">
        <v>0</v>
      </c>
    </row>
    <row r="225" spans="7:28" ht="12.75">
      <c r="G225" s="7"/>
      <c r="H225" s="7"/>
      <c r="I225" s="7"/>
      <c r="J225" s="7"/>
      <c r="K225" s="7"/>
      <c r="L225" s="7"/>
      <c r="M225" s="7"/>
      <c r="N225" s="7"/>
      <c r="O225" s="7"/>
      <c r="P225" s="7"/>
      <c r="Q225" s="7"/>
      <c r="R225" s="7"/>
      <c r="S225" s="7"/>
      <c r="T225" s="7"/>
      <c r="U225" s="7"/>
      <c r="V225" s="185">
        <v>97.3999999999997</v>
      </c>
      <c r="W225" s="180">
        <v>0.04</v>
      </c>
      <c r="X225" s="180">
        <v>0.04</v>
      </c>
      <c r="Y225" s="180">
        <v>0</v>
      </c>
      <c r="Z225" s="181">
        <v>0.04</v>
      </c>
      <c r="AA225" s="180">
        <v>0.04</v>
      </c>
      <c r="AB225" s="186">
        <v>0</v>
      </c>
    </row>
    <row r="226" spans="7:28" ht="12.75">
      <c r="G226" s="7"/>
      <c r="H226" s="7"/>
      <c r="I226" s="7"/>
      <c r="J226" s="7"/>
      <c r="K226" s="7"/>
      <c r="L226" s="7"/>
      <c r="M226" s="7"/>
      <c r="N226" s="7"/>
      <c r="O226" s="7"/>
      <c r="P226" s="7"/>
      <c r="Q226" s="7"/>
      <c r="R226" s="7"/>
      <c r="S226" s="7"/>
      <c r="T226" s="7"/>
      <c r="U226" s="7"/>
      <c r="V226" s="185">
        <v>97.4999999999997</v>
      </c>
      <c r="W226" s="180">
        <v>0.04</v>
      </c>
      <c r="X226" s="180">
        <v>0.04</v>
      </c>
      <c r="Y226" s="180">
        <v>0</v>
      </c>
      <c r="Z226" s="181">
        <v>0.04</v>
      </c>
      <c r="AA226" s="180">
        <v>0.04</v>
      </c>
      <c r="AB226" s="186">
        <v>0</v>
      </c>
    </row>
    <row r="227" spans="7:28" ht="30">
      <c r="G227" s="103"/>
      <c r="H227" s="76"/>
      <c r="I227" s="7"/>
      <c r="J227" s="7"/>
      <c r="K227" s="7"/>
      <c r="L227" s="7"/>
      <c r="M227" s="7"/>
      <c r="N227" s="77"/>
      <c r="O227" s="77"/>
      <c r="P227" s="77"/>
      <c r="Q227" s="7"/>
      <c r="R227" s="7"/>
      <c r="S227" s="7"/>
      <c r="T227" s="7"/>
      <c r="U227" s="7"/>
      <c r="V227" s="185">
        <v>97.5999999999997</v>
      </c>
      <c r="W227" s="180">
        <v>0.04</v>
      </c>
      <c r="X227" s="180">
        <v>0.04</v>
      </c>
      <c r="Y227" s="180">
        <v>0</v>
      </c>
      <c r="Z227" s="181">
        <v>0.04</v>
      </c>
      <c r="AA227" s="180">
        <v>0.04</v>
      </c>
      <c r="AB227" s="186">
        <v>0</v>
      </c>
    </row>
    <row r="228" spans="7:28" ht="12.75">
      <c r="G228" s="7"/>
      <c r="H228" s="7"/>
      <c r="I228" s="7"/>
      <c r="J228" s="7"/>
      <c r="K228" s="7"/>
      <c r="L228" s="7"/>
      <c r="M228" s="7"/>
      <c r="N228" s="7"/>
      <c r="O228" s="7"/>
      <c r="P228" s="7"/>
      <c r="Q228" s="7"/>
      <c r="R228" s="7"/>
      <c r="S228" s="7"/>
      <c r="T228" s="7"/>
      <c r="U228" s="7"/>
      <c r="V228" s="185">
        <v>97.6999999999997</v>
      </c>
      <c r="W228" s="180">
        <v>0.04</v>
      </c>
      <c r="X228" s="180">
        <v>0.04</v>
      </c>
      <c r="Y228" s="180">
        <v>0</v>
      </c>
      <c r="Z228" s="181">
        <v>0.04</v>
      </c>
      <c r="AA228" s="180">
        <v>0.04</v>
      </c>
      <c r="AB228" s="186">
        <v>0</v>
      </c>
    </row>
    <row r="229" spans="7:28" ht="12.75">
      <c r="G229" s="104"/>
      <c r="H229" s="104"/>
      <c r="I229" s="7"/>
      <c r="J229" s="7"/>
      <c r="K229" s="104"/>
      <c r="L229" s="104"/>
      <c r="M229" s="104"/>
      <c r="N229" s="7"/>
      <c r="O229" s="105"/>
      <c r="P229" s="106"/>
      <c r="Q229" s="7"/>
      <c r="R229" s="7"/>
      <c r="S229" s="7"/>
      <c r="T229" s="7"/>
      <c r="U229" s="7"/>
      <c r="V229" s="185"/>
      <c r="W229" s="180"/>
      <c r="X229" s="180">
        <v>0.04</v>
      </c>
      <c r="Y229" s="180"/>
      <c r="Z229" s="181"/>
      <c r="AA229" s="180"/>
      <c r="AB229" s="186"/>
    </row>
    <row r="230" spans="7:28" ht="12.75">
      <c r="G230" s="104"/>
      <c r="H230" s="104"/>
      <c r="I230" s="104"/>
      <c r="J230" s="104"/>
      <c r="K230" s="104"/>
      <c r="L230" s="104"/>
      <c r="M230" s="105"/>
      <c r="N230" s="106"/>
      <c r="O230" s="7"/>
      <c r="P230" s="107"/>
      <c r="Q230" s="54"/>
      <c r="R230" s="50"/>
      <c r="S230" s="7"/>
      <c r="T230" s="7"/>
      <c r="U230" s="7"/>
      <c r="V230" s="185"/>
      <c r="W230" s="180"/>
      <c r="X230" s="180">
        <v>0.04</v>
      </c>
      <c r="Y230" s="180"/>
      <c r="Z230" s="181"/>
      <c r="AA230" s="180"/>
      <c r="AB230" s="186"/>
    </row>
    <row r="231" spans="7:28" ht="12.75">
      <c r="G231" s="54"/>
      <c r="H231" s="7"/>
      <c r="I231" s="107"/>
      <c r="J231" s="107"/>
      <c r="K231" s="7"/>
      <c r="L231" s="7"/>
      <c r="M231" s="54"/>
      <c r="N231" s="108"/>
      <c r="O231" s="54"/>
      <c r="P231" s="108"/>
      <c r="Q231" s="109"/>
      <c r="R231" s="50"/>
      <c r="S231" s="7"/>
      <c r="T231" s="7"/>
      <c r="U231" s="7"/>
      <c r="V231" s="185"/>
      <c r="W231" s="180"/>
      <c r="X231" s="180">
        <v>0.04</v>
      </c>
      <c r="Y231" s="180"/>
      <c r="Z231" s="181"/>
      <c r="AA231" s="180"/>
      <c r="AB231" s="186"/>
    </row>
    <row r="232" spans="7:28" ht="12.75">
      <c r="G232" s="107"/>
      <c r="H232" s="107"/>
      <c r="I232" s="18"/>
      <c r="J232" s="18"/>
      <c r="K232" s="37"/>
      <c r="L232" s="37"/>
      <c r="M232" s="37"/>
      <c r="N232" s="50"/>
      <c r="O232" s="54"/>
      <c r="P232" s="64"/>
      <c r="Q232" s="110"/>
      <c r="R232" s="7"/>
      <c r="S232" s="7"/>
      <c r="T232" s="7"/>
      <c r="U232" s="7"/>
      <c r="V232" s="240"/>
      <c r="W232" s="234"/>
      <c r="X232" s="180">
        <v>0.04</v>
      </c>
      <c r="Y232" s="234"/>
      <c r="Z232" s="234"/>
      <c r="AA232" s="234"/>
      <c r="AB232" s="241"/>
    </row>
    <row r="233" spans="7:28" ht="13.5" thickBot="1">
      <c r="G233" s="37"/>
      <c r="H233" s="37"/>
      <c r="I233" s="50"/>
      <c r="J233" s="50"/>
      <c r="K233" s="107"/>
      <c r="L233" s="107"/>
      <c r="M233" s="37"/>
      <c r="N233" s="50"/>
      <c r="O233" s="107"/>
      <c r="P233" s="37"/>
      <c r="Q233" s="111"/>
      <c r="R233" s="7"/>
      <c r="S233" s="7"/>
      <c r="T233" s="7"/>
      <c r="U233" s="7"/>
      <c r="V233" s="242"/>
      <c r="W233" s="243"/>
      <c r="X233" s="189">
        <v>0.04</v>
      </c>
      <c r="Y233" s="243"/>
      <c r="Z233" s="243"/>
      <c r="AA233" s="243"/>
      <c r="AB233" s="244"/>
    </row>
    <row r="234" spans="7:25" ht="12.75">
      <c r="G234" s="54"/>
      <c r="H234" s="50"/>
      <c r="I234" s="7"/>
      <c r="J234" s="7"/>
      <c r="K234" s="37"/>
      <c r="L234" s="37"/>
      <c r="M234" s="37"/>
      <c r="N234" s="62"/>
      <c r="O234" s="37"/>
      <c r="P234" s="7"/>
      <c r="Q234" s="7"/>
      <c r="R234" s="7"/>
      <c r="S234" s="7"/>
      <c r="T234" s="7"/>
      <c r="U234" s="7"/>
      <c r="V234" s="7"/>
      <c r="W234" s="7"/>
      <c r="X234" s="7"/>
      <c r="Y234" s="7"/>
    </row>
    <row r="235" spans="7:25" ht="12.75">
      <c r="G235" s="7"/>
      <c r="H235" s="7"/>
      <c r="I235" s="7"/>
      <c r="J235" s="7"/>
      <c r="K235" s="7"/>
      <c r="L235" s="7"/>
      <c r="M235" s="7"/>
      <c r="N235" s="7"/>
      <c r="O235" s="7"/>
      <c r="P235" s="7"/>
      <c r="Q235" s="7"/>
      <c r="R235" s="7"/>
      <c r="S235" s="7"/>
      <c r="T235" s="7"/>
      <c r="U235" s="7"/>
      <c r="V235" s="7"/>
      <c r="W235" s="7"/>
      <c r="X235" s="7"/>
      <c r="Y235" s="7"/>
    </row>
    <row r="236" spans="7:25" ht="12.75">
      <c r="G236" s="7"/>
      <c r="H236" s="112"/>
      <c r="I236" s="96"/>
      <c r="J236" s="96"/>
      <c r="K236" s="23"/>
      <c r="L236" s="23"/>
      <c r="M236" s="23"/>
      <c r="N236" s="23"/>
      <c r="O236" s="23"/>
      <c r="P236" s="23"/>
      <c r="Q236" s="23"/>
      <c r="R236" s="7"/>
      <c r="S236" s="7"/>
      <c r="T236" s="7"/>
      <c r="U236" s="7"/>
      <c r="V236" s="7"/>
      <c r="W236" s="7"/>
      <c r="X236" s="7"/>
      <c r="Y236" s="7"/>
    </row>
    <row r="237" spans="7:25" ht="12.75">
      <c r="G237" s="54"/>
      <c r="H237" s="112"/>
      <c r="I237" s="96"/>
      <c r="J237" s="96"/>
      <c r="K237" s="23"/>
      <c r="L237" s="23"/>
      <c r="M237" s="23"/>
      <c r="N237" s="23"/>
      <c r="O237" s="23"/>
      <c r="P237" s="23"/>
      <c r="Q237" s="23"/>
      <c r="R237" s="7"/>
      <c r="S237" s="50"/>
      <c r="T237" s="50"/>
      <c r="U237" s="50"/>
      <c r="V237" s="50"/>
      <c r="W237" s="50"/>
      <c r="X237" s="50"/>
      <c r="Y237" s="50"/>
    </row>
    <row r="238" spans="7:25" ht="12.75">
      <c r="G238" s="7"/>
      <c r="H238" s="95"/>
      <c r="I238" s="96"/>
      <c r="J238" s="96"/>
      <c r="K238" s="64"/>
      <c r="L238" s="64"/>
      <c r="M238" s="64"/>
      <c r="N238" s="64"/>
      <c r="O238" s="64"/>
      <c r="P238" s="64"/>
      <c r="Q238" s="64"/>
      <c r="R238" s="7"/>
      <c r="S238" s="7"/>
      <c r="T238" s="7"/>
      <c r="U238" s="7"/>
      <c r="V238" s="7"/>
      <c r="W238" s="7"/>
      <c r="X238" s="7"/>
      <c r="Y238" s="7"/>
    </row>
    <row r="239" spans="7:25" ht="12.75">
      <c r="G239" s="7"/>
      <c r="H239" s="95"/>
      <c r="I239" s="96"/>
      <c r="J239" s="96"/>
      <c r="K239" s="18"/>
      <c r="L239" s="18"/>
      <c r="M239" s="18"/>
      <c r="N239" s="18"/>
      <c r="O239" s="18"/>
      <c r="P239" s="18"/>
      <c r="Q239" s="18"/>
      <c r="R239" s="7"/>
      <c r="S239" s="7"/>
      <c r="T239" s="7"/>
      <c r="U239" s="7"/>
      <c r="V239" s="7"/>
      <c r="W239" s="7"/>
      <c r="X239" s="7"/>
      <c r="Y239" s="7"/>
    </row>
    <row r="240" spans="7:25" ht="12.75">
      <c r="G240" s="7"/>
      <c r="H240" s="7"/>
      <c r="I240" s="7"/>
      <c r="J240" s="7"/>
      <c r="K240" s="7"/>
      <c r="L240" s="7"/>
      <c r="M240" s="7"/>
      <c r="N240" s="7"/>
      <c r="O240" s="7"/>
      <c r="P240" s="7"/>
      <c r="Q240" s="7"/>
      <c r="R240" s="7"/>
      <c r="S240" s="7"/>
      <c r="T240" s="7"/>
      <c r="U240" s="7"/>
      <c r="V240" s="7"/>
      <c r="W240" s="7"/>
      <c r="X240" s="7"/>
      <c r="Y240" s="7"/>
    </row>
    <row r="241" spans="7:25" ht="12.75">
      <c r="G241" s="7"/>
      <c r="H241" s="7"/>
      <c r="I241" s="7"/>
      <c r="J241" s="7"/>
      <c r="K241" s="54"/>
      <c r="L241" s="54"/>
      <c r="M241" s="54"/>
      <c r="N241" s="54"/>
      <c r="O241" s="54"/>
      <c r="P241" s="54"/>
      <c r="Q241" s="54"/>
      <c r="R241" s="54"/>
      <c r="S241" s="7"/>
      <c r="T241" s="7"/>
      <c r="U241" s="7"/>
      <c r="V241" s="7"/>
      <c r="W241" s="7"/>
      <c r="X241" s="7"/>
      <c r="Y241" s="7"/>
    </row>
    <row r="242" spans="7:25" ht="12.75">
      <c r="G242" s="54"/>
      <c r="H242" s="54"/>
      <c r="I242" s="37"/>
      <c r="J242" s="37"/>
      <c r="K242" s="54"/>
      <c r="L242" s="54"/>
      <c r="M242" s="54"/>
      <c r="N242" s="54"/>
      <c r="O242" s="54"/>
      <c r="P242" s="37"/>
      <c r="Q242" s="58"/>
      <c r="R242" s="58"/>
      <c r="S242" s="58"/>
      <c r="T242" s="58"/>
      <c r="U242" s="58"/>
      <c r="V242" s="58"/>
      <c r="W242" s="58"/>
      <c r="X242" s="58"/>
      <c r="Y242" s="58"/>
    </row>
    <row r="243" spans="7:25" ht="12.75">
      <c r="G243" s="7"/>
      <c r="H243" s="7"/>
      <c r="I243" s="7"/>
      <c r="J243" s="7"/>
      <c r="K243" s="50"/>
      <c r="L243" s="50"/>
      <c r="M243" s="50"/>
      <c r="N243" s="97"/>
      <c r="O243" s="7"/>
      <c r="P243" s="7"/>
      <c r="Q243" s="23"/>
      <c r="R243" s="63"/>
      <c r="S243" s="23"/>
      <c r="T243" s="23"/>
      <c r="U243" s="23"/>
      <c r="V243" s="23"/>
      <c r="W243" s="23"/>
      <c r="X243" s="23"/>
      <c r="Y243" s="23"/>
    </row>
    <row r="244" spans="7:25" ht="12.75">
      <c r="G244" s="50"/>
      <c r="H244" s="50"/>
      <c r="I244" s="64"/>
      <c r="J244" s="64"/>
      <c r="K244" s="64"/>
      <c r="L244" s="64"/>
      <c r="M244" s="64"/>
      <c r="N244" s="98"/>
      <c r="O244" s="50"/>
      <c r="P244" s="50"/>
      <c r="Q244" s="23"/>
      <c r="R244" s="67"/>
      <c r="S244" s="64"/>
      <c r="T244" s="64"/>
      <c r="U244" s="64"/>
      <c r="V244" s="64"/>
      <c r="W244" s="64"/>
      <c r="X244" s="64"/>
      <c r="Y244" s="64"/>
    </row>
    <row r="245" spans="7:25" ht="12.75">
      <c r="G245" s="50"/>
      <c r="H245" s="50"/>
      <c r="I245" s="64"/>
      <c r="J245" s="64"/>
      <c r="K245" s="50"/>
      <c r="L245" s="50"/>
      <c r="M245" s="64"/>
      <c r="N245" s="7"/>
      <c r="O245" s="50"/>
      <c r="P245" s="50"/>
      <c r="Q245" s="23"/>
      <c r="R245" s="67"/>
      <c r="S245" s="7"/>
      <c r="T245" s="7"/>
      <c r="U245" s="7"/>
      <c r="V245" s="7"/>
      <c r="W245" s="7"/>
      <c r="X245" s="7"/>
      <c r="Y245" s="7"/>
    </row>
    <row r="246" spans="7:25" ht="12.75">
      <c r="G246" s="54"/>
      <c r="H246" s="99"/>
      <c r="I246" s="64"/>
      <c r="J246" s="64"/>
      <c r="K246" s="18"/>
      <c r="L246" s="18"/>
      <c r="M246" s="64"/>
      <c r="N246" s="7"/>
      <c r="O246" s="50"/>
      <c r="P246" s="50"/>
      <c r="Q246" s="23"/>
      <c r="R246" s="67"/>
      <c r="S246" s="7"/>
      <c r="T246" s="7"/>
      <c r="U246" s="7"/>
      <c r="V246" s="7"/>
      <c r="W246" s="7"/>
      <c r="X246" s="7"/>
      <c r="Y246" s="7"/>
    </row>
    <row r="247" spans="7:25" ht="12.75">
      <c r="G247" s="54"/>
      <c r="H247" s="54"/>
      <c r="I247" s="64"/>
      <c r="J247" s="64"/>
      <c r="K247" s="18"/>
      <c r="L247" s="18"/>
      <c r="M247" s="64"/>
      <c r="N247" s="7"/>
      <c r="O247" s="50"/>
      <c r="P247" s="50"/>
      <c r="Q247" s="23"/>
      <c r="R247" s="67"/>
      <c r="S247" s="7"/>
      <c r="T247" s="7"/>
      <c r="U247" s="7"/>
      <c r="V247" s="7"/>
      <c r="W247" s="7"/>
      <c r="X247" s="7"/>
      <c r="Y247" s="7"/>
    </row>
    <row r="248" spans="7:25" ht="12.75">
      <c r="G248" s="50"/>
      <c r="H248" s="50"/>
      <c r="I248" s="64"/>
      <c r="J248" s="64"/>
      <c r="K248" s="64"/>
      <c r="L248" s="64"/>
      <c r="M248" s="64"/>
      <c r="N248" s="98"/>
      <c r="O248" s="50"/>
      <c r="P248" s="50"/>
      <c r="Q248" s="23"/>
      <c r="R248" s="67"/>
      <c r="S248" s="7"/>
      <c r="T248" s="7"/>
      <c r="U248" s="7"/>
      <c r="V248" s="7"/>
      <c r="W248" s="7"/>
      <c r="X248" s="7"/>
      <c r="Y248" s="7"/>
    </row>
    <row r="249" spans="7:25" ht="12.75">
      <c r="G249" s="50"/>
      <c r="H249" s="50"/>
      <c r="I249" s="64"/>
      <c r="J249" s="64"/>
      <c r="K249" s="50"/>
      <c r="L249" s="50"/>
      <c r="M249" s="64"/>
      <c r="N249" s="7"/>
      <c r="O249" s="50"/>
      <c r="P249" s="50"/>
      <c r="Q249" s="23"/>
      <c r="R249" s="67"/>
      <c r="S249" s="7"/>
      <c r="T249" s="7"/>
      <c r="U249" s="7"/>
      <c r="V249" s="7"/>
      <c r="W249" s="7"/>
      <c r="X249" s="7"/>
      <c r="Y249" s="7"/>
    </row>
    <row r="250" spans="7:25" ht="12.75">
      <c r="G250" s="99"/>
      <c r="H250" s="99"/>
      <c r="I250" s="64"/>
      <c r="J250" s="64"/>
      <c r="K250" s="18"/>
      <c r="L250" s="18"/>
      <c r="M250" s="64"/>
      <c r="N250" s="97"/>
      <c r="O250" s="50"/>
      <c r="P250" s="50"/>
      <c r="Q250" s="23"/>
      <c r="R250" s="67"/>
      <c r="S250" s="7"/>
      <c r="T250" s="7"/>
      <c r="U250" s="7"/>
      <c r="V250" s="7"/>
      <c r="W250" s="7"/>
      <c r="X250" s="7"/>
      <c r="Y250" s="7"/>
    </row>
    <row r="251" spans="7:25" ht="12.75">
      <c r="G251" s="50"/>
      <c r="H251" s="54"/>
      <c r="I251" s="64"/>
      <c r="J251" s="64"/>
      <c r="K251" s="18"/>
      <c r="L251" s="18"/>
      <c r="M251" s="64"/>
      <c r="N251" s="7"/>
      <c r="O251" s="50"/>
      <c r="P251" s="50"/>
      <c r="Q251" s="23"/>
      <c r="R251" s="67"/>
      <c r="S251" s="7"/>
      <c r="T251" s="7"/>
      <c r="U251" s="7"/>
      <c r="V251" s="7"/>
      <c r="W251" s="7"/>
      <c r="X251" s="7"/>
      <c r="Y251" s="7"/>
    </row>
    <row r="252" spans="7:25" ht="12.75">
      <c r="G252" s="50"/>
      <c r="H252" s="50"/>
      <c r="I252" s="64"/>
      <c r="J252" s="64"/>
      <c r="K252" s="64"/>
      <c r="L252" s="64"/>
      <c r="M252" s="64"/>
      <c r="N252" s="98"/>
      <c r="O252" s="50"/>
      <c r="P252" s="50"/>
      <c r="Q252" s="23"/>
      <c r="R252" s="67"/>
      <c r="S252" s="7"/>
      <c r="T252" s="7"/>
      <c r="U252" s="7"/>
      <c r="V252" s="7"/>
      <c r="W252" s="7"/>
      <c r="X252" s="7"/>
      <c r="Y252" s="7"/>
    </row>
    <row r="253" spans="7:25" ht="12.75">
      <c r="G253" s="50"/>
      <c r="H253" s="50"/>
      <c r="I253" s="64"/>
      <c r="J253" s="64"/>
      <c r="K253" s="50"/>
      <c r="L253" s="50"/>
      <c r="M253" s="64"/>
      <c r="N253" s="7"/>
      <c r="O253" s="50"/>
      <c r="P253" s="50"/>
      <c r="Q253" s="23"/>
      <c r="R253" s="67"/>
      <c r="S253" s="7"/>
      <c r="T253" s="7"/>
      <c r="U253" s="7"/>
      <c r="V253" s="7"/>
      <c r="W253" s="7"/>
      <c r="X253" s="7"/>
      <c r="Y253" s="7"/>
    </row>
    <row r="254" spans="7:25" ht="12.75">
      <c r="G254" s="99"/>
      <c r="H254" s="99"/>
      <c r="I254" s="64"/>
      <c r="J254" s="64"/>
      <c r="K254" s="18"/>
      <c r="L254" s="18"/>
      <c r="M254" s="64"/>
      <c r="N254" s="7"/>
      <c r="O254" s="50"/>
      <c r="P254" s="50"/>
      <c r="Q254" s="23"/>
      <c r="R254" s="67"/>
      <c r="S254" s="7"/>
      <c r="T254" s="7"/>
      <c r="U254" s="7"/>
      <c r="V254" s="7"/>
      <c r="W254" s="7"/>
      <c r="X254" s="7"/>
      <c r="Y254" s="7"/>
    </row>
    <row r="255" spans="7:25" ht="12.75">
      <c r="G255" s="50"/>
      <c r="H255" s="54"/>
      <c r="I255" s="64"/>
      <c r="J255" s="64"/>
      <c r="K255" s="18"/>
      <c r="L255" s="18"/>
      <c r="M255" s="64"/>
      <c r="N255" s="7"/>
      <c r="O255" s="50"/>
      <c r="P255" s="50"/>
      <c r="Q255" s="23"/>
      <c r="R255" s="67"/>
      <c r="S255" s="7"/>
      <c r="T255" s="7"/>
      <c r="U255" s="7"/>
      <c r="V255" s="7"/>
      <c r="W255" s="7"/>
      <c r="X255" s="7"/>
      <c r="Y255" s="7"/>
    </row>
    <row r="256" spans="7:25" ht="12.75">
      <c r="G256" s="50"/>
      <c r="H256" s="50"/>
      <c r="I256" s="64"/>
      <c r="J256" s="64"/>
      <c r="K256" s="64"/>
      <c r="L256" s="64"/>
      <c r="M256" s="64"/>
      <c r="N256" s="98"/>
      <c r="O256" s="50"/>
      <c r="P256" s="50"/>
      <c r="Q256" s="62"/>
      <c r="R256" s="67"/>
      <c r="S256" s="7"/>
      <c r="T256" s="7"/>
      <c r="U256" s="7"/>
      <c r="V256" s="7"/>
      <c r="W256" s="7"/>
      <c r="X256" s="7"/>
      <c r="Y256" s="7"/>
    </row>
    <row r="257" spans="7:25" ht="12.75">
      <c r="G257" s="50"/>
      <c r="H257" s="50"/>
      <c r="I257" s="64"/>
      <c r="J257" s="64"/>
      <c r="K257" s="50"/>
      <c r="L257" s="50"/>
      <c r="M257" s="64"/>
      <c r="N257" s="7"/>
      <c r="O257" s="50"/>
      <c r="P257" s="50"/>
      <c r="Q257" s="23"/>
      <c r="R257" s="67"/>
      <c r="S257" s="7"/>
      <c r="T257" s="7"/>
      <c r="U257" s="7"/>
      <c r="V257" s="7"/>
      <c r="W257" s="7"/>
      <c r="X257" s="7"/>
      <c r="Y257" s="7"/>
    </row>
    <row r="258" spans="7:25" ht="12.75">
      <c r="G258" s="99"/>
      <c r="H258" s="99"/>
      <c r="I258" s="64"/>
      <c r="J258" s="64"/>
      <c r="K258" s="18"/>
      <c r="L258" s="18"/>
      <c r="M258" s="64"/>
      <c r="N258" s="97"/>
      <c r="O258" s="50"/>
      <c r="P258" s="50"/>
      <c r="Q258" s="23"/>
      <c r="R258" s="67"/>
      <c r="S258" s="7"/>
      <c r="T258" s="7"/>
      <c r="U258" s="7"/>
      <c r="V258" s="7"/>
      <c r="W258" s="7"/>
      <c r="X258" s="7"/>
      <c r="Y258" s="7"/>
    </row>
    <row r="259" spans="7:25" ht="12.75">
      <c r="G259" s="50"/>
      <c r="H259" s="7"/>
      <c r="I259" s="7"/>
      <c r="J259" s="7"/>
      <c r="K259" s="18"/>
      <c r="L259" s="18"/>
      <c r="M259" s="64"/>
      <c r="N259" s="7"/>
      <c r="O259" s="50"/>
      <c r="P259" s="50"/>
      <c r="Q259" s="23"/>
      <c r="R259" s="67"/>
      <c r="S259" s="7"/>
      <c r="T259" s="7"/>
      <c r="U259" s="7"/>
      <c r="V259" s="7"/>
      <c r="W259" s="7"/>
      <c r="X259" s="7"/>
      <c r="Y259" s="7"/>
    </row>
    <row r="260" spans="7:25" ht="12.75">
      <c r="G260" s="50"/>
      <c r="H260" s="50"/>
      <c r="I260" s="64"/>
      <c r="J260" s="64"/>
      <c r="K260" s="64"/>
      <c r="L260" s="64"/>
      <c r="M260" s="64"/>
      <c r="N260" s="98"/>
      <c r="O260" s="50"/>
      <c r="P260" s="50"/>
      <c r="Q260" s="23"/>
      <c r="R260" s="67"/>
      <c r="S260" s="7"/>
      <c r="T260" s="7"/>
      <c r="U260" s="7"/>
      <c r="V260" s="7"/>
      <c r="W260" s="7"/>
      <c r="X260" s="7"/>
      <c r="Y260" s="7"/>
    </row>
    <row r="261" spans="7:25" ht="12.75">
      <c r="G261" s="50"/>
      <c r="H261" s="50"/>
      <c r="I261" s="64"/>
      <c r="J261" s="64"/>
      <c r="K261" s="50"/>
      <c r="L261" s="50"/>
      <c r="M261" s="64"/>
      <c r="N261" s="7"/>
      <c r="O261" s="50"/>
      <c r="P261" s="50"/>
      <c r="Q261" s="23"/>
      <c r="R261" s="67"/>
      <c r="S261" s="7"/>
      <c r="T261" s="7"/>
      <c r="U261" s="7"/>
      <c r="V261" s="7"/>
      <c r="W261" s="7"/>
      <c r="X261" s="7"/>
      <c r="Y261" s="7"/>
    </row>
    <row r="262" spans="7:25" ht="12.75">
      <c r="G262" s="99"/>
      <c r="H262" s="99"/>
      <c r="I262" s="64"/>
      <c r="J262" s="64"/>
      <c r="K262" s="18"/>
      <c r="L262" s="18"/>
      <c r="M262" s="64"/>
      <c r="N262" s="7"/>
      <c r="O262" s="50"/>
      <c r="P262" s="50"/>
      <c r="Q262" s="23"/>
      <c r="R262" s="67"/>
      <c r="S262" s="7"/>
      <c r="T262" s="7"/>
      <c r="U262" s="7"/>
      <c r="V262" s="7"/>
      <c r="W262" s="7"/>
      <c r="X262" s="7"/>
      <c r="Y262" s="7"/>
    </row>
    <row r="263" spans="7:25" ht="12.75">
      <c r="G263" s="50"/>
      <c r="H263" s="54"/>
      <c r="I263" s="64"/>
      <c r="J263" s="64"/>
      <c r="K263" s="18"/>
      <c r="L263" s="18"/>
      <c r="M263" s="64"/>
      <c r="N263" s="7"/>
      <c r="O263" s="50"/>
      <c r="P263" s="50"/>
      <c r="Q263" s="23"/>
      <c r="R263" s="67"/>
      <c r="S263" s="7"/>
      <c r="T263" s="7"/>
      <c r="U263" s="7"/>
      <c r="V263" s="7"/>
      <c r="W263" s="7"/>
      <c r="X263" s="7"/>
      <c r="Y263" s="7"/>
    </row>
    <row r="264" spans="7:25" ht="12.75">
      <c r="G264" s="50"/>
      <c r="H264" s="50"/>
      <c r="I264" s="64"/>
      <c r="J264" s="64"/>
      <c r="K264" s="64"/>
      <c r="L264" s="64"/>
      <c r="M264" s="64"/>
      <c r="N264" s="98"/>
      <c r="O264" s="50"/>
      <c r="P264" s="50"/>
      <c r="Q264" s="23"/>
      <c r="R264" s="67"/>
      <c r="S264" s="7"/>
      <c r="T264" s="7"/>
      <c r="U264" s="7"/>
      <c r="V264" s="7"/>
      <c r="W264" s="7"/>
      <c r="X264" s="7"/>
      <c r="Y264" s="7"/>
    </row>
    <row r="265" spans="7:25" ht="12.75">
      <c r="G265" s="50"/>
      <c r="H265" s="50"/>
      <c r="I265" s="64"/>
      <c r="J265" s="64"/>
      <c r="K265" s="50"/>
      <c r="L265" s="50"/>
      <c r="M265" s="64"/>
      <c r="N265" s="7"/>
      <c r="O265" s="50"/>
      <c r="P265" s="50"/>
      <c r="Q265" s="23"/>
      <c r="R265" s="67"/>
      <c r="S265" s="7"/>
      <c r="T265" s="7"/>
      <c r="U265" s="7"/>
      <c r="V265" s="7"/>
      <c r="W265" s="7"/>
      <c r="X265" s="7"/>
      <c r="Y265" s="7"/>
    </row>
    <row r="266" spans="7:25" ht="12.75">
      <c r="G266" s="99"/>
      <c r="H266" s="99"/>
      <c r="I266" s="64"/>
      <c r="J266" s="64"/>
      <c r="K266" s="18"/>
      <c r="L266" s="18"/>
      <c r="M266" s="64"/>
      <c r="N266" s="7"/>
      <c r="O266" s="50"/>
      <c r="P266" s="50"/>
      <c r="Q266" s="23"/>
      <c r="R266" s="67"/>
      <c r="S266" s="7"/>
      <c r="T266" s="7"/>
      <c r="U266" s="7"/>
      <c r="V266" s="7"/>
      <c r="W266" s="7"/>
      <c r="X266" s="7"/>
      <c r="Y266" s="7"/>
    </row>
    <row r="267" spans="7:25" ht="12.75">
      <c r="G267" s="50"/>
      <c r="H267" s="54"/>
      <c r="I267" s="64"/>
      <c r="J267" s="64"/>
      <c r="K267" s="18"/>
      <c r="L267" s="18"/>
      <c r="M267" s="64"/>
      <c r="N267" s="50"/>
      <c r="O267" s="50"/>
      <c r="P267" s="50"/>
      <c r="Q267" s="23"/>
      <c r="R267" s="67"/>
      <c r="S267" s="7"/>
      <c r="T267" s="7"/>
      <c r="U267" s="7"/>
      <c r="V267" s="7"/>
      <c r="W267" s="7"/>
      <c r="X267" s="7"/>
      <c r="Y267" s="7"/>
    </row>
    <row r="268" spans="7:25" ht="12.75">
      <c r="G268" s="50"/>
      <c r="H268" s="50"/>
      <c r="I268" s="64"/>
      <c r="J268" s="64"/>
      <c r="K268" s="64"/>
      <c r="L268" s="64"/>
      <c r="M268" s="64"/>
      <c r="N268" s="98"/>
      <c r="O268" s="50"/>
      <c r="P268" s="50"/>
      <c r="Q268" s="23"/>
      <c r="R268" s="67"/>
      <c r="S268" s="7"/>
      <c r="T268" s="7"/>
      <c r="U268" s="7"/>
      <c r="V268" s="7"/>
      <c r="W268" s="7"/>
      <c r="X268" s="7"/>
      <c r="Y268" s="7"/>
    </row>
    <row r="269" spans="7:25" ht="12.75">
      <c r="G269" s="50"/>
      <c r="H269" s="50"/>
      <c r="I269" s="64"/>
      <c r="J269" s="64"/>
      <c r="K269" s="50"/>
      <c r="L269" s="50"/>
      <c r="M269" s="64"/>
      <c r="N269" s="7"/>
      <c r="O269" s="50"/>
      <c r="P269" s="50"/>
      <c r="Q269" s="23"/>
      <c r="R269" s="67"/>
      <c r="S269" s="7"/>
      <c r="T269" s="7"/>
      <c r="U269" s="7"/>
      <c r="V269" s="7"/>
      <c r="W269" s="7"/>
      <c r="X269" s="7"/>
      <c r="Y269" s="7"/>
    </row>
    <row r="270" spans="7:25" ht="12.75">
      <c r="G270" s="99"/>
      <c r="H270" s="99"/>
      <c r="I270" s="64"/>
      <c r="J270" s="64"/>
      <c r="K270" s="18"/>
      <c r="L270" s="18"/>
      <c r="M270" s="64"/>
      <c r="N270" s="18"/>
      <c r="O270" s="50"/>
      <c r="P270" s="50"/>
      <c r="Q270" s="23"/>
      <c r="R270" s="67"/>
      <c r="S270" s="7"/>
      <c r="T270" s="7"/>
      <c r="U270" s="7"/>
      <c r="V270" s="7"/>
      <c r="W270" s="7"/>
      <c r="X270" s="7"/>
      <c r="Y270" s="7"/>
    </row>
    <row r="271" spans="7:25" ht="12.75">
      <c r="G271" s="7"/>
      <c r="H271" s="7"/>
      <c r="I271" s="7"/>
      <c r="J271" s="7"/>
      <c r="K271" s="7"/>
      <c r="L271" s="7"/>
      <c r="M271" s="7"/>
      <c r="N271" s="7"/>
      <c r="O271" s="7"/>
      <c r="P271" s="7"/>
      <c r="Q271" s="7"/>
      <c r="R271" s="7"/>
      <c r="S271" s="7"/>
      <c r="T271" s="7"/>
      <c r="U271" s="7"/>
      <c r="V271" s="7"/>
      <c r="W271" s="7"/>
      <c r="X271" s="7"/>
      <c r="Y271" s="7"/>
    </row>
    <row r="272" spans="7:25" ht="12.75">
      <c r="G272" s="7"/>
      <c r="H272" s="7"/>
      <c r="I272" s="7"/>
      <c r="J272" s="7"/>
      <c r="K272" s="37"/>
      <c r="L272" s="37"/>
      <c r="M272" s="64"/>
      <c r="N272" s="7"/>
      <c r="O272" s="7"/>
      <c r="P272" s="50"/>
      <c r="Q272" s="7"/>
      <c r="R272" s="101"/>
      <c r="S272" s="7"/>
      <c r="T272" s="7"/>
      <c r="U272" s="7"/>
      <c r="V272" s="7"/>
      <c r="W272" s="7"/>
      <c r="X272" s="7"/>
      <c r="Y272" s="7"/>
    </row>
    <row r="273" spans="7:25" ht="12.75">
      <c r="G273" s="7"/>
      <c r="H273" s="7"/>
      <c r="I273" s="7"/>
      <c r="J273" s="7"/>
      <c r="K273" s="7"/>
      <c r="L273" s="7"/>
      <c r="M273" s="7"/>
      <c r="N273" s="7"/>
      <c r="O273" s="7"/>
      <c r="P273" s="7"/>
      <c r="Q273" s="7"/>
      <c r="R273" s="7"/>
      <c r="S273" s="7"/>
      <c r="T273" s="7"/>
      <c r="U273" s="7"/>
      <c r="V273" s="7"/>
      <c r="W273" s="7"/>
      <c r="X273" s="7"/>
      <c r="Y273" s="7"/>
    </row>
    <row r="274" spans="7:25" ht="12.75">
      <c r="G274" s="7"/>
      <c r="H274" s="37"/>
      <c r="I274" s="7"/>
      <c r="J274" s="7"/>
      <c r="K274" s="7"/>
      <c r="L274" s="7"/>
      <c r="M274" s="7"/>
      <c r="N274" s="7"/>
      <c r="O274" s="7"/>
      <c r="P274" s="102"/>
      <c r="Q274" s="7"/>
      <c r="R274" s="7"/>
      <c r="S274" s="7"/>
      <c r="T274" s="7"/>
      <c r="U274" s="7"/>
      <c r="V274" s="7"/>
      <c r="W274" s="7"/>
      <c r="X274" s="7"/>
      <c r="Y274" s="7"/>
    </row>
    <row r="275" spans="7:25" ht="12.75">
      <c r="G275" s="7"/>
      <c r="H275" s="7"/>
      <c r="I275" s="7"/>
      <c r="J275" s="7"/>
      <c r="K275" s="7"/>
      <c r="L275" s="7"/>
      <c r="M275" s="7"/>
      <c r="N275" s="7"/>
      <c r="O275" s="7"/>
      <c r="P275" s="7"/>
      <c r="Q275" s="7"/>
      <c r="R275" s="7"/>
      <c r="S275" s="7"/>
      <c r="T275" s="7"/>
      <c r="U275" s="7"/>
      <c r="V275" s="7"/>
      <c r="W275" s="7"/>
      <c r="X275" s="7"/>
      <c r="Y275" s="7"/>
    </row>
    <row r="276" spans="7:25" ht="30">
      <c r="G276" s="75"/>
      <c r="H276" s="76"/>
      <c r="I276" s="7"/>
      <c r="J276" s="7"/>
      <c r="K276" s="7"/>
      <c r="L276" s="7"/>
      <c r="M276" s="7"/>
      <c r="N276" s="77"/>
      <c r="O276" s="77"/>
      <c r="P276" s="77"/>
      <c r="Q276" s="7"/>
      <c r="R276" s="7"/>
      <c r="S276" s="7"/>
      <c r="T276" s="7"/>
      <c r="U276" s="7"/>
      <c r="V276" s="7"/>
      <c r="W276" s="7"/>
      <c r="X276" s="7"/>
      <c r="Y276" s="7"/>
    </row>
    <row r="277" spans="7:25" ht="12.75">
      <c r="G277" s="7"/>
      <c r="H277" s="7"/>
      <c r="I277" s="7"/>
      <c r="J277" s="7"/>
      <c r="K277" s="7"/>
      <c r="L277" s="7"/>
      <c r="M277" s="7"/>
      <c r="N277" s="7"/>
      <c r="O277" s="7"/>
      <c r="P277" s="7"/>
      <c r="Q277" s="7"/>
      <c r="R277" s="7"/>
      <c r="S277" s="7"/>
      <c r="T277" s="7"/>
      <c r="U277" s="7"/>
      <c r="V277" s="7"/>
      <c r="W277" s="7"/>
      <c r="X277" s="7"/>
      <c r="Y277" s="7"/>
    </row>
    <row r="278" spans="7:25" ht="18">
      <c r="G278" s="78"/>
      <c r="H278" s="79"/>
      <c r="I278" s="11"/>
      <c r="J278" s="11"/>
      <c r="K278" s="78"/>
      <c r="L278" s="78"/>
      <c r="M278" s="78"/>
      <c r="N278" s="11"/>
      <c r="O278" s="80"/>
      <c r="P278" s="7"/>
      <c r="Q278" s="81"/>
      <c r="R278" s="11"/>
      <c r="S278" s="11"/>
      <c r="T278" s="11"/>
      <c r="U278" s="11"/>
      <c r="V278" s="11"/>
      <c r="W278" s="11"/>
      <c r="X278" s="11"/>
      <c r="Y278" s="11"/>
    </row>
    <row r="279" spans="7:25" ht="12.75">
      <c r="G279" s="104"/>
      <c r="H279" s="104"/>
      <c r="I279" s="104"/>
      <c r="J279" s="104"/>
      <c r="K279" s="104"/>
      <c r="L279" s="104"/>
      <c r="M279" s="105"/>
      <c r="N279" s="106"/>
      <c r="O279" s="7"/>
      <c r="P279" s="107"/>
      <c r="Q279" s="54"/>
      <c r="R279" s="50"/>
      <c r="S279" s="7"/>
      <c r="T279" s="7"/>
      <c r="U279" s="7"/>
      <c r="V279" s="7"/>
      <c r="W279" s="7"/>
      <c r="X279" s="7"/>
      <c r="Y279" s="7"/>
    </row>
    <row r="280" spans="7:25" ht="12.75">
      <c r="G280" s="110"/>
      <c r="H280" s="7"/>
      <c r="I280" s="107"/>
      <c r="J280" s="107"/>
      <c r="K280" s="7"/>
      <c r="L280" s="7"/>
      <c r="M280" s="112"/>
      <c r="N280" s="113"/>
      <c r="O280" s="112"/>
      <c r="P280" s="113"/>
      <c r="Q280" s="109"/>
      <c r="R280" s="50"/>
      <c r="S280" s="7"/>
      <c r="T280" s="7"/>
      <c r="U280" s="7"/>
      <c r="V280" s="7"/>
      <c r="W280" s="7"/>
      <c r="X280" s="7"/>
      <c r="Y280" s="7"/>
    </row>
    <row r="281" spans="7:25" ht="12.75">
      <c r="G281" s="110"/>
      <c r="H281" s="107"/>
      <c r="I281" s="18"/>
      <c r="J281" s="18"/>
      <c r="K281" s="37"/>
      <c r="L281" s="37"/>
      <c r="M281" s="37"/>
      <c r="N281" s="50"/>
      <c r="O281" s="7"/>
      <c r="P281" s="54"/>
      <c r="Q281" s="64"/>
      <c r="R281" s="110"/>
      <c r="S281" s="7"/>
      <c r="T281" s="7"/>
      <c r="U281" s="7"/>
      <c r="V281" s="7"/>
      <c r="W281" s="7"/>
      <c r="X281" s="7"/>
      <c r="Y281" s="7"/>
    </row>
    <row r="282" spans="7:25" ht="12.75">
      <c r="G282" s="37"/>
      <c r="H282" s="37"/>
      <c r="I282" s="50"/>
      <c r="J282" s="50"/>
      <c r="K282" s="107"/>
      <c r="L282" s="107"/>
      <c r="M282" s="37"/>
      <c r="N282" s="50"/>
      <c r="O282" s="7"/>
      <c r="P282" s="107"/>
      <c r="Q282" s="37"/>
      <c r="R282" s="111"/>
      <c r="S282" s="7"/>
      <c r="T282" s="7"/>
      <c r="U282" s="7"/>
      <c r="V282" s="7"/>
      <c r="W282" s="7"/>
      <c r="X282" s="7"/>
      <c r="Y282" s="7"/>
    </row>
    <row r="283" spans="7:25" ht="12.75">
      <c r="G283" s="7"/>
      <c r="H283" s="54"/>
      <c r="I283" s="50"/>
      <c r="J283" s="50"/>
      <c r="K283" s="37"/>
      <c r="L283" s="37"/>
      <c r="M283" s="37"/>
      <c r="N283" s="62"/>
      <c r="O283" s="7"/>
      <c r="P283" s="37"/>
      <c r="Q283" s="7"/>
      <c r="R283" s="7"/>
      <c r="S283" s="7"/>
      <c r="T283" s="7"/>
      <c r="U283" s="7"/>
      <c r="V283" s="7"/>
      <c r="W283" s="7"/>
      <c r="X283" s="7"/>
      <c r="Y283" s="7"/>
    </row>
    <row r="284" spans="7:25" ht="12.75">
      <c r="G284" s="7"/>
      <c r="H284" s="7"/>
      <c r="I284" s="7"/>
      <c r="J284" s="7"/>
      <c r="K284" s="7"/>
      <c r="L284" s="7"/>
      <c r="M284" s="7"/>
      <c r="N284" s="7"/>
      <c r="O284" s="7"/>
      <c r="P284" s="7"/>
      <c r="Q284" s="7"/>
      <c r="R284" s="7"/>
      <c r="S284" s="7"/>
      <c r="T284" s="7"/>
      <c r="U284" s="7"/>
      <c r="V284" s="7"/>
      <c r="W284" s="7"/>
      <c r="X284" s="7"/>
      <c r="Y284" s="7"/>
    </row>
    <row r="285" spans="7:25" ht="12.75">
      <c r="G285" s="7"/>
      <c r="H285" s="112"/>
      <c r="I285" s="96"/>
      <c r="J285" s="96"/>
      <c r="K285" s="23"/>
      <c r="L285" s="23"/>
      <c r="M285" s="23"/>
      <c r="N285" s="23"/>
      <c r="O285" s="23"/>
      <c r="P285" s="23"/>
      <c r="Q285" s="23"/>
      <c r="R285" s="50"/>
      <c r="S285" s="7"/>
      <c r="T285" s="7"/>
      <c r="U285" s="7"/>
      <c r="V285" s="7"/>
      <c r="W285" s="7"/>
      <c r="X285" s="7"/>
      <c r="Y285" s="7"/>
    </row>
    <row r="286" spans="7:25" ht="12.75">
      <c r="G286" s="54"/>
      <c r="H286" s="112"/>
      <c r="I286" s="96"/>
      <c r="J286" s="96"/>
      <c r="K286" s="23"/>
      <c r="L286" s="23"/>
      <c r="M286" s="23"/>
      <c r="N286" s="23"/>
      <c r="O286" s="23"/>
      <c r="P286" s="23"/>
      <c r="Q286" s="23"/>
      <c r="R286" s="23"/>
      <c r="S286" s="50"/>
      <c r="T286" s="50"/>
      <c r="U286" s="50"/>
      <c r="V286" s="50"/>
      <c r="W286" s="50"/>
      <c r="X286" s="50"/>
      <c r="Y286" s="50"/>
    </row>
    <row r="287" spans="7:25" ht="12.75">
      <c r="G287" s="7"/>
      <c r="H287" s="95"/>
      <c r="I287" s="96"/>
      <c r="J287" s="96"/>
      <c r="K287" s="64"/>
      <c r="L287" s="64"/>
      <c r="M287" s="64"/>
      <c r="N287" s="64"/>
      <c r="O287" s="64"/>
      <c r="P287" s="64"/>
      <c r="Q287" s="64"/>
      <c r="R287" s="64"/>
      <c r="S287" s="7"/>
      <c r="T287" s="7"/>
      <c r="U287" s="7"/>
      <c r="V287" s="7"/>
      <c r="W287" s="7"/>
      <c r="X287" s="7"/>
      <c r="Y287" s="7"/>
    </row>
    <row r="288" spans="7:25" ht="12.75">
      <c r="G288" s="7"/>
      <c r="H288" s="95"/>
      <c r="I288" s="96"/>
      <c r="J288" s="96"/>
      <c r="K288" s="18"/>
      <c r="L288" s="18"/>
      <c r="M288" s="18"/>
      <c r="N288" s="18"/>
      <c r="O288" s="18"/>
      <c r="P288" s="18"/>
      <c r="Q288" s="18"/>
      <c r="R288" s="18"/>
      <c r="S288" s="7"/>
      <c r="T288" s="7"/>
      <c r="U288" s="7"/>
      <c r="V288" s="7"/>
      <c r="W288" s="7"/>
      <c r="X288" s="7"/>
      <c r="Y288" s="7"/>
    </row>
    <row r="289" spans="7:25" ht="12.75">
      <c r="G289" s="7"/>
      <c r="H289" s="7"/>
      <c r="I289" s="7"/>
      <c r="J289" s="7"/>
      <c r="K289" s="7"/>
      <c r="L289" s="7"/>
      <c r="M289" s="7"/>
      <c r="N289" s="7"/>
      <c r="O289" s="7"/>
      <c r="P289" s="7"/>
      <c r="Q289" s="7"/>
      <c r="R289" s="7"/>
      <c r="S289" s="7"/>
      <c r="T289" s="7"/>
      <c r="U289" s="7"/>
      <c r="V289" s="7"/>
      <c r="W289" s="7"/>
      <c r="X289" s="7"/>
      <c r="Y289" s="7"/>
    </row>
    <row r="290" spans="7:25" ht="12.75">
      <c r="G290" s="7"/>
      <c r="H290" s="7"/>
      <c r="I290" s="54"/>
      <c r="J290" s="54"/>
      <c r="K290" s="7"/>
      <c r="L290" s="7"/>
      <c r="M290" s="54"/>
      <c r="N290" s="54"/>
      <c r="O290" s="54"/>
      <c r="P290" s="54"/>
      <c r="Q290" s="54"/>
      <c r="R290" s="54"/>
      <c r="S290" s="54"/>
      <c r="T290" s="54"/>
      <c r="U290" s="54"/>
      <c r="V290" s="54"/>
      <c r="W290" s="54"/>
      <c r="X290" s="54"/>
      <c r="Y290" s="54"/>
    </row>
    <row r="291" spans="7:25" ht="12.75">
      <c r="G291" s="54"/>
      <c r="H291" s="54"/>
      <c r="I291" s="54"/>
      <c r="J291" s="54"/>
      <c r="K291" s="37"/>
      <c r="L291" s="37"/>
      <c r="M291" s="54"/>
      <c r="N291" s="54"/>
      <c r="O291" s="54"/>
      <c r="P291" s="54"/>
      <c r="Q291" s="37"/>
      <c r="R291" s="58"/>
      <c r="S291" s="58"/>
      <c r="T291" s="58"/>
      <c r="U291" s="58"/>
      <c r="V291" s="58"/>
      <c r="W291" s="58"/>
      <c r="X291" s="58"/>
      <c r="Y291" s="58"/>
    </row>
    <row r="292" spans="7:25" ht="12.75">
      <c r="G292" s="7"/>
      <c r="H292" s="7"/>
      <c r="I292" s="7"/>
      <c r="J292" s="7"/>
      <c r="K292" s="7"/>
      <c r="L292" s="7"/>
      <c r="M292" s="50"/>
      <c r="N292" s="50"/>
      <c r="O292" s="97"/>
      <c r="P292" s="7"/>
      <c r="Q292" s="7"/>
      <c r="R292" s="23"/>
      <c r="S292" s="63"/>
      <c r="T292" s="63"/>
      <c r="U292" s="63"/>
      <c r="V292" s="63"/>
      <c r="W292" s="63"/>
      <c r="X292" s="63"/>
      <c r="Y292" s="63"/>
    </row>
    <row r="293" spans="7:25" ht="12.75">
      <c r="G293" s="50"/>
      <c r="H293" s="50"/>
      <c r="I293" s="23"/>
      <c r="J293" s="23"/>
      <c r="K293" s="64"/>
      <c r="L293" s="64"/>
      <c r="M293" s="64"/>
      <c r="N293" s="64"/>
      <c r="O293" s="98"/>
      <c r="P293" s="18"/>
      <c r="Q293" s="50"/>
      <c r="R293" s="23"/>
      <c r="S293" s="67"/>
      <c r="T293" s="67"/>
      <c r="U293" s="67"/>
      <c r="V293" s="67"/>
      <c r="W293" s="67"/>
      <c r="X293" s="67"/>
      <c r="Y293" s="67"/>
    </row>
    <row r="294" spans="7:25" ht="12.75">
      <c r="G294" s="50"/>
      <c r="H294" s="50"/>
      <c r="I294" s="23"/>
      <c r="J294" s="23"/>
      <c r="K294" s="64"/>
      <c r="L294" s="64"/>
      <c r="M294" s="50"/>
      <c r="N294" s="64"/>
      <c r="O294" s="7"/>
      <c r="P294" s="18"/>
      <c r="Q294" s="50"/>
      <c r="R294" s="23"/>
      <c r="S294" s="67"/>
      <c r="T294" s="67"/>
      <c r="U294" s="67"/>
      <c r="V294" s="67"/>
      <c r="W294" s="67"/>
      <c r="X294" s="67"/>
      <c r="Y294" s="67"/>
    </row>
    <row r="295" spans="7:25" ht="12.75">
      <c r="G295" s="54"/>
      <c r="H295" s="99"/>
      <c r="I295" s="23"/>
      <c r="J295" s="23"/>
      <c r="K295" s="64"/>
      <c r="L295" s="64"/>
      <c r="M295" s="18"/>
      <c r="N295" s="64"/>
      <c r="O295" s="7"/>
      <c r="P295" s="18"/>
      <c r="Q295" s="50"/>
      <c r="R295" s="23"/>
      <c r="S295" s="67"/>
      <c r="T295" s="67"/>
      <c r="U295" s="67"/>
      <c r="V295" s="67"/>
      <c r="W295" s="67"/>
      <c r="X295" s="67"/>
      <c r="Y295" s="67"/>
    </row>
    <row r="296" spans="7:25" ht="12.75">
      <c r="G296" s="54"/>
      <c r="H296" s="54"/>
      <c r="I296" s="23"/>
      <c r="J296" s="23"/>
      <c r="K296" s="64"/>
      <c r="L296" s="64"/>
      <c r="M296" s="18"/>
      <c r="N296" s="64"/>
      <c r="O296" s="7"/>
      <c r="P296" s="18"/>
      <c r="Q296" s="50"/>
      <c r="R296" s="23"/>
      <c r="S296" s="67"/>
      <c r="T296" s="67"/>
      <c r="U296" s="67"/>
      <c r="V296" s="67"/>
      <c r="W296" s="67"/>
      <c r="X296" s="67"/>
      <c r="Y296" s="67"/>
    </row>
    <row r="297" spans="7:25" ht="12.75">
      <c r="G297" s="50"/>
      <c r="H297" s="50"/>
      <c r="I297" s="23"/>
      <c r="J297" s="23"/>
      <c r="K297" s="64"/>
      <c r="L297" s="64"/>
      <c r="M297" s="64"/>
      <c r="N297" s="64"/>
      <c r="O297" s="98"/>
      <c r="P297" s="18"/>
      <c r="Q297" s="50"/>
      <c r="R297" s="23"/>
      <c r="S297" s="67"/>
      <c r="T297" s="67"/>
      <c r="U297" s="67"/>
      <c r="V297" s="67"/>
      <c r="W297" s="67"/>
      <c r="X297" s="67"/>
      <c r="Y297" s="67"/>
    </row>
    <row r="298" spans="7:25" ht="12.75">
      <c r="G298" s="50"/>
      <c r="H298" s="50"/>
      <c r="I298" s="23"/>
      <c r="J298" s="23"/>
      <c r="K298" s="64"/>
      <c r="L298" s="64"/>
      <c r="M298" s="50"/>
      <c r="N298" s="64"/>
      <c r="O298" s="7"/>
      <c r="P298" s="18"/>
      <c r="Q298" s="18"/>
      <c r="R298" s="23"/>
      <c r="S298" s="67"/>
      <c r="T298" s="67"/>
      <c r="U298" s="67"/>
      <c r="V298" s="67"/>
      <c r="W298" s="67"/>
      <c r="X298" s="67"/>
      <c r="Y298" s="67"/>
    </row>
    <row r="299" spans="7:25" ht="12.75">
      <c r="G299" s="99"/>
      <c r="H299" s="99"/>
      <c r="I299" s="23"/>
      <c r="J299" s="23"/>
      <c r="K299" s="64"/>
      <c r="L299" s="64"/>
      <c r="M299" s="18"/>
      <c r="N299" s="64"/>
      <c r="O299" s="97"/>
      <c r="P299" s="18"/>
      <c r="Q299" s="50"/>
      <c r="R299" s="23"/>
      <c r="S299" s="67"/>
      <c r="T299" s="67"/>
      <c r="U299" s="67"/>
      <c r="V299" s="67"/>
      <c r="W299" s="67"/>
      <c r="X299" s="67"/>
      <c r="Y299" s="67"/>
    </row>
    <row r="300" spans="7:25" ht="12.75">
      <c r="G300" s="50"/>
      <c r="H300" s="54"/>
      <c r="I300" s="23"/>
      <c r="J300" s="23"/>
      <c r="K300" s="64"/>
      <c r="L300" s="64"/>
      <c r="M300" s="18"/>
      <c r="N300" s="64"/>
      <c r="O300" s="7"/>
      <c r="P300" s="18"/>
      <c r="Q300" s="50"/>
      <c r="R300" s="23"/>
      <c r="S300" s="67"/>
      <c r="T300" s="67"/>
      <c r="U300" s="67"/>
      <c r="V300" s="67"/>
      <c r="W300" s="67"/>
      <c r="X300" s="67"/>
      <c r="Y300" s="67"/>
    </row>
    <row r="301" spans="7:25" ht="12.75">
      <c r="G301" s="50"/>
      <c r="H301" s="50"/>
      <c r="I301" s="23"/>
      <c r="J301" s="23"/>
      <c r="K301" s="64"/>
      <c r="L301" s="64"/>
      <c r="M301" s="64"/>
      <c r="N301" s="64"/>
      <c r="O301" s="98"/>
      <c r="P301" s="18"/>
      <c r="Q301" s="50"/>
      <c r="R301" s="23"/>
      <c r="S301" s="67"/>
      <c r="T301" s="67"/>
      <c r="U301" s="67"/>
      <c r="V301" s="67"/>
      <c r="W301" s="67"/>
      <c r="X301" s="67"/>
      <c r="Y301" s="67"/>
    </row>
    <row r="302" spans="7:25" ht="12.75">
      <c r="G302" s="50"/>
      <c r="H302" s="50"/>
      <c r="I302" s="23"/>
      <c r="J302" s="23"/>
      <c r="K302" s="64"/>
      <c r="L302" s="64"/>
      <c r="M302" s="50"/>
      <c r="N302" s="64"/>
      <c r="O302" s="7"/>
      <c r="P302" s="18"/>
      <c r="Q302" s="50"/>
      <c r="R302" s="23"/>
      <c r="S302" s="67"/>
      <c r="T302" s="67"/>
      <c r="U302" s="67"/>
      <c r="V302" s="67"/>
      <c r="W302" s="67"/>
      <c r="X302" s="67"/>
      <c r="Y302" s="67"/>
    </row>
    <row r="303" spans="7:25" ht="12.75">
      <c r="G303" s="99"/>
      <c r="H303" s="99"/>
      <c r="I303" s="23"/>
      <c r="J303" s="23"/>
      <c r="K303" s="64"/>
      <c r="L303" s="64"/>
      <c r="M303" s="18"/>
      <c r="N303" s="64"/>
      <c r="O303" s="7"/>
      <c r="P303" s="18"/>
      <c r="Q303" s="50"/>
      <c r="R303" s="23"/>
      <c r="S303" s="67"/>
      <c r="T303" s="67"/>
      <c r="U303" s="67"/>
      <c r="V303" s="67"/>
      <c r="W303" s="67"/>
      <c r="X303" s="67"/>
      <c r="Y303" s="67"/>
    </row>
    <row r="304" spans="7:25" ht="12.75">
      <c r="G304" s="50"/>
      <c r="H304" s="54"/>
      <c r="I304" s="23"/>
      <c r="J304" s="23"/>
      <c r="K304" s="64"/>
      <c r="L304" s="64"/>
      <c r="M304" s="18"/>
      <c r="N304" s="64"/>
      <c r="O304" s="7"/>
      <c r="P304" s="18"/>
      <c r="Q304" s="50"/>
      <c r="R304" s="23"/>
      <c r="S304" s="67"/>
      <c r="T304" s="67"/>
      <c r="U304" s="67"/>
      <c r="V304" s="67"/>
      <c r="W304" s="67"/>
      <c r="X304" s="67"/>
      <c r="Y304" s="67"/>
    </row>
    <row r="305" spans="7:25" ht="12.75">
      <c r="G305" s="50"/>
      <c r="H305" s="50"/>
      <c r="I305" s="23"/>
      <c r="J305" s="23"/>
      <c r="K305" s="64"/>
      <c r="L305" s="64"/>
      <c r="M305" s="64"/>
      <c r="N305" s="64"/>
      <c r="O305" s="98"/>
      <c r="P305" s="18"/>
      <c r="Q305" s="50"/>
      <c r="R305" s="23"/>
      <c r="S305" s="67"/>
      <c r="T305" s="67"/>
      <c r="U305" s="67"/>
      <c r="V305" s="67"/>
      <c r="W305" s="67"/>
      <c r="X305" s="67"/>
      <c r="Y305" s="67"/>
    </row>
    <row r="306" spans="7:25" ht="12.75">
      <c r="G306" s="50"/>
      <c r="H306" s="50"/>
      <c r="I306" s="23"/>
      <c r="J306" s="23"/>
      <c r="K306" s="64"/>
      <c r="L306" s="64"/>
      <c r="M306" s="50"/>
      <c r="N306" s="64"/>
      <c r="O306" s="7"/>
      <c r="P306" s="18"/>
      <c r="Q306" s="50"/>
      <c r="R306" s="23"/>
      <c r="S306" s="67"/>
      <c r="T306" s="67"/>
      <c r="U306" s="67"/>
      <c r="V306" s="67"/>
      <c r="W306" s="67"/>
      <c r="X306" s="67"/>
      <c r="Y306" s="67"/>
    </row>
    <row r="307" spans="7:25" ht="12.75">
      <c r="G307" s="99"/>
      <c r="H307" s="99"/>
      <c r="I307" s="23"/>
      <c r="J307" s="23"/>
      <c r="K307" s="64"/>
      <c r="L307" s="64"/>
      <c r="M307" s="18"/>
      <c r="N307" s="64"/>
      <c r="O307" s="97"/>
      <c r="P307" s="18"/>
      <c r="Q307" s="50"/>
      <c r="R307" s="23"/>
      <c r="S307" s="67"/>
      <c r="T307" s="67"/>
      <c r="U307" s="67"/>
      <c r="V307" s="67"/>
      <c r="W307" s="67"/>
      <c r="X307" s="67"/>
      <c r="Y307" s="67"/>
    </row>
    <row r="308" spans="7:25" ht="12.75">
      <c r="G308" s="50"/>
      <c r="H308" s="7"/>
      <c r="I308" s="23"/>
      <c r="J308" s="23"/>
      <c r="K308" s="7"/>
      <c r="L308" s="7"/>
      <c r="M308" s="18"/>
      <c r="N308" s="64"/>
      <c r="O308" s="7"/>
      <c r="P308" s="18"/>
      <c r="Q308" s="50"/>
      <c r="R308" s="23"/>
      <c r="S308" s="67"/>
      <c r="T308" s="67"/>
      <c r="U308" s="67"/>
      <c r="V308" s="67"/>
      <c r="W308" s="67"/>
      <c r="X308" s="67"/>
      <c r="Y308" s="67"/>
    </row>
    <row r="309" spans="7:25" ht="12.75">
      <c r="G309" s="50"/>
      <c r="H309" s="50"/>
      <c r="I309" s="23"/>
      <c r="J309" s="23"/>
      <c r="K309" s="64"/>
      <c r="L309" s="64"/>
      <c r="M309" s="64"/>
      <c r="N309" s="64"/>
      <c r="O309" s="98"/>
      <c r="P309" s="18"/>
      <c r="Q309" s="50"/>
      <c r="R309" s="23"/>
      <c r="S309" s="67"/>
      <c r="T309" s="67"/>
      <c r="U309" s="67"/>
      <c r="V309" s="67"/>
      <c r="W309" s="67"/>
      <c r="X309" s="67"/>
      <c r="Y309" s="67"/>
    </row>
    <row r="310" spans="7:25" ht="12.75">
      <c r="G310" s="50"/>
      <c r="H310" s="50"/>
      <c r="I310" s="23"/>
      <c r="J310" s="23"/>
      <c r="K310" s="64"/>
      <c r="L310" s="64"/>
      <c r="M310" s="50"/>
      <c r="N310" s="64"/>
      <c r="O310" s="7"/>
      <c r="P310" s="18"/>
      <c r="Q310" s="50"/>
      <c r="R310" s="23"/>
      <c r="S310" s="67"/>
      <c r="T310" s="67"/>
      <c r="U310" s="67"/>
      <c r="V310" s="67"/>
      <c r="W310" s="67"/>
      <c r="X310" s="67"/>
      <c r="Y310" s="67"/>
    </row>
    <row r="311" spans="7:25" ht="12.75">
      <c r="G311" s="99"/>
      <c r="H311" s="99"/>
      <c r="I311" s="23"/>
      <c r="J311" s="23"/>
      <c r="K311" s="64"/>
      <c r="L311" s="64"/>
      <c r="M311" s="18"/>
      <c r="N311" s="64"/>
      <c r="O311" s="7"/>
      <c r="P311" s="18"/>
      <c r="Q311" s="50"/>
      <c r="R311" s="23"/>
      <c r="S311" s="67"/>
      <c r="T311" s="67"/>
      <c r="U311" s="67"/>
      <c r="V311" s="67"/>
      <c r="W311" s="67"/>
      <c r="X311" s="67"/>
      <c r="Y311" s="67"/>
    </row>
    <row r="312" spans="7:25" ht="12.75">
      <c r="G312" s="50"/>
      <c r="H312" s="54"/>
      <c r="I312" s="23"/>
      <c r="J312" s="23"/>
      <c r="K312" s="64"/>
      <c r="L312" s="64"/>
      <c r="M312" s="18"/>
      <c r="N312" s="64"/>
      <c r="O312" s="7"/>
      <c r="P312" s="18"/>
      <c r="Q312" s="50"/>
      <c r="R312" s="23"/>
      <c r="S312" s="67"/>
      <c r="T312" s="67"/>
      <c r="U312" s="67"/>
      <c r="V312" s="67"/>
      <c r="W312" s="67"/>
      <c r="X312" s="67"/>
      <c r="Y312" s="67"/>
    </row>
    <row r="313" spans="7:25" ht="12.75">
      <c r="G313" s="50"/>
      <c r="H313" s="50"/>
      <c r="I313" s="23"/>
      <c r="J313" s="23"/>
      <c r="K313" s="64"/>
      <c r="L313" s="64"/>
      <c r="M313" s="64"/>
      <c r="N313" s="64"/>
      <c r="O313" s="98"/>
      <c r="P313" s="18"/>
      <c r="Q313" s="50"/>
      <c r="R313" s="23"/>
      <c r="S313" s="67"/>
      <c r="T313" s="67"/>
      <c r="U313" s="67"/>
      <c r="V313" s="67"/>
      <c r="W313" s="67"/>
      <c r="X313" s="67"/>
      <c r="Y313" s="67"/>
    </row>
    <row r="314" spans="7:25" ht="12.75">
      <c r="G314" s="50"/>
      <c r="H314" s="50"/>
      <c r="I314" s="23"/>
      <c r="J314" s="23"/>
      <c r="K314" s="64"/>
      <c r="L314" s="64"/>
      <c r="M314" s="50"/>
      <c r="N314" s="64"/>
      <c r="O314" s="7"/>
      <c r="P314" s="18"/>
      <c r="Q314" s="50"/>
      <c r="R314" s="23"/>
      <c r="S314" s="67"/>
      <c r="T314" s="67"/>
      <c r="U314" s="67"/>
      <c r="V314" s="67"/>
      <c r="W314" s="67"/>
      <c r="X314" s="67"/>
      <c r="Y314" s="67"/>
    </row>
    <row r="315" spans="7:25" ht="12.75">
      <c r="G315" s="99"/>
      <c r="H315" s="99"/>
      <c r="I315" s="23"/>
      <c r="J315" s="23"/>
      <c r="K315" s="64"/>
      <c r="L315" s="64"/>
      <c r="M315" s="18"/>
      <c r="N315" s="64"/>
      <c r="O315" s="7"/>
      <c r="P315" s="18"/>
      <c r="Q315" s="50"/>
      <c r="R315" s="23"/>
      <c r="S315" s="67"/>
      <c r="T315" s="67"/>
      <c r="U315" s="67"/>
      <c r="V315" s="67"/>
      <c r="W315" s="67"/>
      <c r="X315" s="67"/>
      <c r="Y315" s="67"/>
    </row>
    <row r="316" spans="7:25" ht="12.75">
      <c r="G316" s="50"/>
      <c r="H316" s="54"/>
      <c r="I316" s="23"/>
      <c r="J316" s="23"/>
      <c r="K316" s="64"/>
      <c r="L316" s="64"/>
      <c r="M316" s="18"/>
      <c r="N316" s="64"/>
      <c r="O316" s="50"/>
      <c r="P316" s="18"/>
      <c r="Q316" s="50"/>
      <c r="R316" s="23"/>
      <c r="S316" s="67"/>
      <c r="T316" s="67"/>
      <c r="U316" s="67"/>
      <c r="V316" s="67"/>
      <c r="W316" s="67"/>
      <c r="X316" s="67"/>
      <c r="Y316" s="67"/>
    </row>
    <row r="317" spans="7:25" ht="12.75">
      <c r="G317" s="50"/>
      <c r="H317" s="50"/>
      <c r="I317" s="23"/>
      <c r="J317" s="23"/>
      <c r="K317" s="64"/>
      <c r="L317" s="64"/>
      <c r="M317" s="64"/>
      <c r="N317" s="64"/>
      <c r="O317" s="98"/>
      <c r="P317" s="18"/>
      <c r="Q317" s="50"/>
      <c r="R317" s="23"/>
      <c r="S317" s="67"/>
      <c r="T317" s="67"/>
      <c r="U317" s="67"/>
      <c r="V317" s="67"/>
      <c r="W317" s="67"/>
      <c r="X317" s="67"/>
      <c r="Y317" s="67"/>
    </row>
    <row r="318" spans="7:25" ht="12.75">
      <c r="G318" s="50"/>
      <c r="H318" s="50"/>
      <c r="I318" s="23"/>
      <c r="J318" s="23"/>
      <c r="K318" s="64"/>
      <c r="L318" s="64"/>
      <c r="M318" s="50"/>
      <c r="N318" s="64"/>
      <c r="O318" s="7"/>
      <c r="P318" s="18"/>
      <c r="Q318" s="50"/>
      <c r="R318" s="23"/>
      <c r="S318" s="67"/>
      <c r="T318" s="67"/>
      <c r="U318" s="67"/>
      <c r="V318" s="67"/>
      <c r="W318" s="67"/>
      <c r="X318" s="67"/>
      <c r="Y318" s="67"/>
    </row>
    <row r="319" spans="7:25" ht="12.75">
      <c r="G319" s="99"/>
      <c r="H319" s="99"/>
      <c r="I319" s="23"/>
      <c r="J319" s="23"/>
      <c r="K319" s="64"/>
      <c r="L319" s="64"/>
      <c r="M319" s="18"/>
      <c r="N319" s="64"/>
      <c r="O319" s="18"/>
      <c r="P319" s="18"/>
      <c r="Q319" s="50"/>
      <c r="R319" s="23"/>
      <c r="S319" s="67"/>
      <c r="T319" s="67"/>
      <c r="U319" s="67"/>
      <c r="V319" s="67"/>
      <c r="W319" s="67"/>
      <c r="X319" s="67"/>
      <c r="Y319" s="67"/>
    </row>
    <row r="320" spans="7:25" ht="12.75">
      <c r="G320" s="7"/>
      <c r="H320" s="7"/>
      <c r="I320" s="7"/>
      <c r="J320" s="7"/>
      <c r="K320" s="7"/>
      <c r="L320" s="7"/>
      <c r="M320" s="7"/>
      <c r="N320" s="7"/>
      <c r="O320" s="7"/>
      <c r="P320" s="7"/>
      <c r="Q320" s="7"/>
      <c r="R320" s="7"/>
      <c r="S320" s="7"/>
      <c r="T320" s="7"/>
      <c r="U320" s="7"/>
      <c r="V320" s="7"/>
      <c r="W320" s="7"/>
      <c r="X320" s="7"/>
      <c r="Y320" s="7"/>
    </row>
    <row r="321" spans="7:25" ht="12.75">
      <c r="G321" s="7"/>
      <c r="H321" s="54"/>
      <c r="I321" s="7"/>
      <c r="J321" s="7"/>
      <c r="K321" s="7"/>
      <c r="L321" s="7"/>
      <c r="M321" s="54"/>
      <c r="N321" s="7"/>
      <c r="O321" s="7"/>
      <c r="P321" s="7"/>
      <c r="Q321" s="7"/>
      <c r="R321" s="7"/>
      <c r="S321" s="7"/>
      <c r="T321" s="7"/>
      <c r="U321" s="7"/>
      <c r="V321" s="7"/>
      <c r="W321" s="7"/>
      <c r="X321" s="7"/>
      <c r="Y321" s="7"/>
    </row>
    <row r="322" spans="7:25" ht="12.75">
      <c r="G322" s="7"/>
      <c r="H322" s="37"/>
      <c r="I322" s="18"/>
      <c r="J322" s="18"/>
      <c r="K322" s="64"/>
      <c r="L322" s="64"/>
      <c r="M322" s="37"/>
      <c r="N322" s="64"/>
      <c r="O322" s="7"/>
      <c r="P322" s="100"/>
      <c r="Q322" s="50"/>
      <c r="R322" s="50"/>
      <c r="S322" s="114"/>
      <c r="T322" s="114"/>
      <c r="U322" s="114"/>
      <c r="V322" s="114"/>
      <c r="W322" s="114"/>
      <c r="X322" s="114"/>
      <c r="Y322" s="114"/>
    </row>
    <row r="323" spans="7:25" ht="12.75">
      <c r="G323" s="7"/>
      <c r="H323" s="7"/>
      <c r="I323" s="7"/>
      <c r="J323" s="7"/>
      <c r="K323" s="7"/>
      <c r="L323" s="7"/>
      <c r="M323" s="7"/>
      <c r="N323" s="7"/>
      <c r="O323" s="7"/>
      <c r="P323" s="7"/>
      <c r="Q323" s="7"/>
      <c r="R323" s="7"/>
      <c r="S323" s="7"/>
      <c r="T323" s="7"/>
      <c r="U323" s="7"/>
      <c r="V323" s="7"/>
      <c r="W323" s="7"/>
      <c r="X323" s="7"/>
      <c r="Y323" s="7"/>
    </row>
    <row r="324" spans="7:25" ht="12.75">
      <c r="G324" s="7"/>
      <c r="H324" s="37"/>
      <c r="I324" s="7"/>
      <c r="J324" s="7"/>
      <c r="K324" s="7"/>
      <c r="L324" s="7"/>
      <c r="M324" s="7"/>
      <c r="N324" s="7"/>
      <c r="O324" s="7"/>
      <c r="P324" s="7"/>
      <c r="Q324" s="102"/>
      <c r="R324" s="7"/>
      <c r="S324" s="7"/>
      <c r="T324" s="7"/>
      <c r="U324" s="7"/>
      <c r="V324" s="7"/>
      <c r="W324" s="7"/>
      <c r="X324" s="7"/>
      <c r="Y324" s="7"/>
    </row>
    <row r="325" spans="7:25" ht="12.75">
      <c r="G325" s="7"/>
      <c r="H325" s="7"/>
      <c r="I325" s="7"/>
      <c r="J325" s="7"/>
      <c r="K325" s="7"/>
      <c r="L325" s="7"/>
      <c r="M325" s="7"/>
      <c r="N325" s="7"/>
      <c r="O325" s="7"/>
      <c r="P325" s="7"/>
      <c r="Q325" s="7"/>
      <c r="R325" s="7"/>
      <c r="S325" s="7"/>
      <c r="T325" s="7"/>
      <c r="U325" s="7"/>
      <c r="V325" s="7"/>
      <c r="W325" s="7"/>
      <c r="X325" s="7"/>
      <c r="Y325" s="7"/>
    </row>
    <row r="326" spans="7:25" ht="12.75">
      <c r="G326" s="7"/>
      <c r="H326" s="7"/>
      <c r="I326" s="7"/>
      <c r="J326" s="7"/>
      <c r="K326" s="7"/>
      <c r="L326" s="7"/>
      <c r="M326" s="7"/>
      <c r="N326" s="7"/>
      <c r="O326" s="7"/>
      <c r="P326" s="7"/>
      <c r="Q326" s="7"/>
      <c r="R326" s="7"/>
      <c r="S326" s="7"/>
      <c r="T326" s="7"/>
      <c r="U326" s="7"/>
      <c r="V326" s="7"/>
      <c r="W326" s="7"/>
      <c r="X326" s="7"/>
      <c r="Y326" s="7"/>
    </row>
    <row r="327" spans="7:25" ht="12.75">
      <c r="G327" s="7"/>
      <c r="H327" s="7"/>
      <c r="I327" s="7"/>
      <c r="J327" s="7"/>
      <c r="K327" s="7"/>
      <c r="L327" s="7"/>
      <c r="M327" s="7"/>
      <c r="N327" s="7"/>
      <c r="O327" s="7"/>
      <c r="P327" s="7"/>
      <c r="Q327" s="7"/>
      <c r="R327" s="7"/>
      <c r="S327" s="7"/>
      <c r="T327" s="7"/>
      <c r="U327" s="7"/>
      <c r="V327" s="7"/>
      <c r="W327" s="7"/>
      <c r="X327" s="7"/>
      <c r="Y327" s="7"/>
    </row>
    <row r="328" spans="7:25" ht="12.75">
      <c r="G328" s="7"/>
      <c r="H328" s="7"/>
      <c r="I328" s="7"/>
      <c r="J328" s="7"/>
      <c r="K328" s="7"/>
      <c r="L328" s="7"/>
      <c r="M328" s="7"/>
      <c r="N328" s="7"/>
      <c r="O328" s="7"/>
      <c r="P328" s="7"/>
      <c r="Q328" s="7"/>
      <c r="R328" s="7"/>
      <c r="S328" s="7"/>
      <c r="T328" s="7"/>
      <c r="U328" s="7"/>
      <c r="V328" s="7"/>
      <c r="W328" s="7"/>
      <c r="X328" s="7"/>
      <c r="Y328" s="7"/>
    </row>
    <row r="329" spans="7:25" ht="12.75">
      <c r="G329" s="7"/>
      <c r="H329" s="7"/>
      <c r="I329" s="7"/>
      <c r="J329" s="7"/>
      <c r="K329" s="7"/>
      <c r="L329" s="7"/>
      <c r="M329" s="7"/>
      <c r="N329" s="7"/>
      <c r="O329" s="7"/>
      <c r="P329" s="7"/>
      <c r="Q329" s="7"/>
      <c r="R329" s="7"/>
      <c r="S329" s="7"/>
      <c r="T329" s="7"/>
      <c r="U329" s="7"/>
      <c r="V329" s="7"/>
      <c r="W329" s="7"/>
      <c r="X329" s="7"/>
      <c r="Y329" s="7"/>
    </row>
    <row r="330" spans="7:25" ht="12.75">
      <c r="G330" s="7"/>
      <c r="H330" s="7"/>
      <c r="I330" s="7"/>
      <c r="J330" s="7"/>
      <c r="K330" s="7"/>
      <c r="L330" s="7"/>
      <c r="M330" s="7"/>
      <c r="N330" s="7"/>
      <c r="O330" s="7"/>
      <c r="P330" s="7"/>
      <c r="Q330" s="7"/>
      <c r="R330" s="7"/>
      <c r="S330" s="7"/>
      <c r="T330" s="7"/>
      <c r="U330" s="7"/>
      <c r="V330" s="7"/>
      <c r="W330" s="7"/>
      <c r="X330" s="7"/>
      <c r="Y330" s="7"/>
    </row>
    <row r="331" spans="7:25" ht="12.75">
      <c r="G331" s="7"/>
      <c r="H331" s="7"/>
      <c r="I331" s="7"/>
      <c r="J331" s="7"/>
      <c r="K331" s="7"/>
      <c r="L331" s="7"/>
      <c r="M331" s="7"/>
      <c r="N331" s="7"/>
      <c r="O331" s="7"/>
      <c r="P331" s="7"/>
      <c r="Q331" s="7"/>
      <c r="R331" s="7"/>
      <c r="S331" s="7"/>
      <c r="T331" s="7"/>
      <c r="U331" s="7"/>
      <c r="V331" s="7"/>
      <c r="W331" s="7"/>
      <c r="X331" s="7"/>
      <c r="Y331" s="7"/>
    </row>
    <row r="332" spans="7:25" ht="12.75">
      <c r="G332" s="7"/>
      <c r="H332" s="7"/>
      <c r="I332" s="7"/>
      <c r="J332" s="7"/>
      <c r="K332" s="7"/>
      <c r="L332" s="7"/>
      <c r="M332" s="7"/>
      <c r="N332" s="7"/>
      <c r="O332" s="7"/>
      <c r="P332" s="7"/>
      <c r="Q332" s="7"/>
      <c r="R332" s="7"/>
      <c r="S332" s="7"/>
      <c r="T332" s="7"/>
      <c r="U332" s="7"/>
      <c r="V332" s="7"/>
      <c r="W332" s="7"/>
      <c r="X332" s="7"/>
      <c r="Y332" s="7"/>
    </row>
    <row r="333" spans="7:25" ht="12.75">
      <c r="G333" s="7"/>
      <c r="H333" s="7"/>
      <c r="I333" s="7"/>
      <c r="J333" s="7"/>
      <c r="K333" s="7"/>
      <c r="L333" s="7"/>
      <c r="M333" s="7"/>
      <c r="N333" s="7"/>
      <c r="O333" s="7"/>
      <c r="P333" s="7"/>
      <c r="Q333" s="7"/>
      <c r="R333" s="7"/>
      <c r="S333" s="7"/>
      <c r="T333" s="7"/>
      <c r="U333" s="7"/>
      <c r="V333" s="7"/>
      <c r="W333" s="7"/>
      <c r="X333" s="7"/>
      <c r="Y333" s="7"/>
    </row>
    <row r="334" spans="7:25" ht="12.75">
      <c r="G334" s="7"/>
      <c r="H334" s="7"/>
      <c r="I334" s="7"/>
      <c r="J334" s="7"/>
      <c r="K334" s="7"/>
      <c r="L334" s="7"/>
      <c r="M334" s="7"/>
      <c r="N334" s="7"/>
      <c r="O334" s="7"/>
      <c r="P334" s="7"/>
      <c r="Q334" s="7"/>
      <c r="R334" s="7"/>
      <c r="S334" s="7"/>
      <c r="T334" s="7"/>
      <c r="U334" s="7"/>
      <c r="V334" s="7"/>
      <c r="W334" s="7"/>
      <c r="X334" s="7"/>
      <c r="Y334" s="7"/>
    </row>
    <row r="335" spans="7:25" ht="12.75">
      <c r="G335" s="7"/>
      <c r="H335" s="7"/>
      <c r="I335" s="7"/>
      <c r="J335" s="7"/>
      <c r="K335" s="7"/>
      <c r="L335" s="7"/>
      <c r="M335" s="7"/>
      <c r="N335" s="7"/>
      <c r="O335" s="7"/>
      <c r="P335" s="7"/>
      <c r="Q335" s="7"/>
      <c r="R335" s="7"/>
      <c r="S335" s="7"/>
      <c r="T335" s="7"/>
      <c r="U335" s="7"/>
      <c r="V335" s="7"/>
      <c r="W335" s="7"/>
      <c r="X335" s="7"/>
      <c r="Y335" s="7"/>
    </row>
    <row r="336" spans="7:25" ht="12.75">
      <c r="G336" s="7"/>
      <c r="H336" s="7"/>
      <c r="I336" s="7"/>
      <c r="J336" s="7"/>
      <c r="K336" s="7"/>
      <c r="L336" s="7"/>
      <c r="M336" s="7"/>
      <c r="N336" s="7"/>
      <c r="O336" s="7"/>
      <c r="P336" s="7"/>
      <c r="Q336" s="7"/>
      <c r="R336" s="7"/>
      <c r="S336" s="7"/>
      <c r="T336" s="7"/>
      <c r="U336" s="7"/>
      <c r="V336" s="7"/>
      <c r="W336" s="7"/>
      <c r="X336" s="7"/>
      <c r="Y336" s="7"/>
    </row>
    <row r="337" spans="7:25" ht="12.75">
      <c r="G337" s="7"/>
      <c r="H337" s="7"/>
      <c r="I337" s="7"/>
      <c r="J337" s="7"/>
      <c r="K337" s="7"/>
      <c r="L337" s="7"/>
      <c r="M337" s="7"/>
      <c r="N337" s="7"/>
      <c r="O337" s="7"/>
      <c r="P337" s="7"/>
      <c r="Q337" s="7"/>
      <c r="R337" s="7"/>
      <c r="S337" s="7"/>
      <c r="T337" s="7"/>
      <c r="U337" s="7"/>
      <c r="V337" s="7"/>
      <c r="W337" s="7"/>
      <c r="X337" s="7"/>
      <c r="Y337" s="7"/>
    </row>
    <row r="338" spans="7:25" ht="12.75">
      <c r="G338" s="7"/>
      <c r="H338" s="7"/>
      <c r="I338" s="7"/>
      <c r="J338" s="7"/>
      <c r="K338" s="7"/>
      <c r="L338" s="7"/>
      <c r="M338" s="7"/>
      <c r="N338" s="7"/>
      <c r="O338" s="7"/>
      <c r="P338" s="7"/>
      <c r="Q338" s="7"/>
      <c r="R338" s="7"/>
      <c r="S338" s="7"/>
      <c r="T338" s="7"/>
      <c r="U338" s="7"/>
      <c r="V338" s="7"/>
      <c r="W338" s="7"/>
      <c r="X338" s="7"/>
      <c r="Y338" s="7"/>
    </row>
    <row r="339" spans="7:25" ht="12.75">
      <c r="G339" s="7"/>
      <c r="H339" s="7"/>
      <c r="I339" s="7"/>
      <c r="J339" s="7"/>
      <c r="K339" s="7"/>
      <c r="L339" s="7"/>
      <c r="M339" s="7"/>
      <c r="N339" s="7"/>
      <c r="O339" s="7"/>
      <c r="P339" s="7"/>
      <c r="Q339" s="7"/>
      <c r="R339" s="7"/>
      <c r="S339" s="7"/>
      <c r="T339" s="7"/>
      <c r="U339" s="7"/>
      <c r="V339" s="7"/>
      <c r="W339" s="7"/>
      <c r="X339" s="7"/>
      <c r="Y339" s="7"/>
    </row>
    <row r="340" spans="7:25" ht="12.75">
      <c r="G340" s="7"/>
      <c r="H340" s="7"/>
      <c r="I340" s="7"/>
      <c r="J340" s="7"/>
      <c r="K340" s="7"/>
      <c r="L340" s="7"/>
      <c r="M340" s="7"/>
      <c r="N340" s="7"/>
      <c r="O340" s="7"/>
      <c r="P340" s="7"/>
      <c r="Q340" s="7"/>
      <c r="R340" s="7"/>
      <c r="S340" s="7"/>
      <c r="T340" s="7"/>
      <c r="U340" s="7"/>
      <c r="V340" s="7"/>
      <c r="W340" s="7"/>
      <c r="X340" s="7"/>
      <c r="Y340" s="7"/>
    </row>
    <row r="341" spans="7:25" ht="12.75">
      <c r="G341" s="7"/>
      <c r="H341" s="7"/>
      <c r="I341" s="7"/>
      <c r="J341" s="7"/>
      <c r="K341" s="7"/>
      <c r="L341" s="7"/>
      <c r="M341" s="7"/>
      <c r="N341" s="7"/>
      <c r="O341" s="7"/>
      <c r="P341" s="7"/>
      <c r="Q341" s="7"/>
      <c r="R341" s="7"/>
      <c r="S341" s="7"/>
      <c r="T341" s="7"/>
      <c r="U341" s="7"/>
      <c r="V341" s="7"/>
      <c r="W341" s="7"/>
      <c r="X341" s="7"/>
      <c r="Y341" s="7"/>
    </row>
    <row r="342" spans="7:25" ht="12.75">
      <c r="G342" s="7"/>
      <c r="H342" s="7"/>
      <c r="I342" s="7"/>
      <c r="J342" s="7"/>
      <c r="K342" s="7"/>
      <c r="L342" s="7"/>
      <c r="M342" s="7"/>
      <c r="N342" s="7"/>
      <c r="O342" s="7"/>
      <c r="P342" s="7"/>
      <c r="Q342" s="7"/>
      <c r="R342" s="7"/>
      <c r="S342" s="7"/>
      <c r="T342" s="7"/>
      <c r="U342" s="7"/>
      <c r="V342" s="7"/>
      <c r="W342" s="7"/>
      <c r="X342" s="7"/>
      <c r="Y342" s="7"/>
    </row>
    <row r="343" spans="7:25" ht="12.75">
      <c r="G343" s="7"/>
      <c r="H343" s="7"/>
      <c r="I343" s="7"/>
      <c r="J343" s="7"/>
      <c r="K343" s="7"/>
      <c r="L343" s="7"/>
      <c r="M343" s="7"/>
      <c r="N343" s="7"/>
      <c r="O343" s="7"/>
      <c r="P343" s="7"/>
      <c r="Q343" s="7"/>
      <c r="R343" s="7"/>
      <c r="S343" s="7"/>
      <c r="T343" s="7"/>
      <c r="U343" s="7"/>
      <c r="V343" s="7"/>
      <c r="W343" s="7"/>
      <c r="X343" s="7"/>
      <c r="Y343" s="7"/>
    </row>
    <row r="344" spans="7:25" ht="12.75">
      <c r="G344" s="7"/>
      <c r="H344" s="7"/>
      <c r="I344" s="7"/>
      <c r="J344" s="7"/>
      <c r="K344" s="7"/>
      <c r="L344" s="7"/>
      <c r="M344" s="7"/>
      <c r="N344" s="7"/>
      <c r="O344" s="7"/>
      <c r="P344" s="7"/>
      <c r="Q344" s="7"/>
      <c r="R344" s="7"/>
      <c r="S344" s="7"/>
      <c r="T344" s="7"/>
      <c r="U344" s="7"/>
      <c r="V344" s="7"/>
      <c r="W344" s="7"/>
      <c r="X344" s="7"/>
      <c r="Y344" s="7"/>
    </row>
    <row r="345" spans="7:25" ht="12.75">
      <c r="G345" s="7"/>
      <c r="H345" s="7"/>
      <c r="I345" s="7"/>
      <c r="J345" s="7"/>
      <c r="K345" s="7"/>
      <c r="L345" s="7"/>
      <c r="M345" s="7"/>
      <c r="N345" s="7"/>
      <c r="O345" s="7"/>
      <c r="P345" s="7"/>
      <c r="Q345" s="7"/>
      <c r="R345" s="7"/>
      <c r="S345" s="7"/>
      <c r="T345" s="7"/>
      <c r="U345" s="7"/>
      <c r="V345" s="7"/>
      <c r="W345" s="7"/>
      <c r="X345" s="7"/>
      <c r="Y345" s="7"/>
    </row>
    <row r="346" spans="7:25" ht="12.75">
      <c r="G346" s="7"/>
      <c r="H346" s="7"/>
      <c r="I346" s="7"/>
      <c r="J346" s="7"/>
      <c r="K346" s="7"/>
      <c r="L346" s="7"/>
      <c r="M346" s="7"/>
      <c r="N346" s="7"/>
      <c r="O346" s="7"/>
      <c r="P346" s="7"/>
      <c r="Q346" s="7"/>
      <c r="R346" s="7"/>
      <c r="S346" s="7"/>
      <c r="T346" s="7"/>
      <c r="U346" s="7"/>
      <c r="V346" s="7"/>
      <c r="W346" s="7"/>
      <c r="X346" s="7"/>
      <c r="Y346" s="7"/>
    </row>
    <row r="347" spans="7:25" ht="12.75">
      <c r="G347" s="7"/>
      <c r="H347" s="7"/>
      <c r="I347" s="7"/>
      <c r="J347" s="7"/>
      <c r="K347" s="7"/>
      <c r="L347" s="7"/>
      <c r="M347" s="7"/>
      <c r="N347" s="7"/>
      <c r="O347" s="7"/>
      <c r="P347" s="7"/>
      <c r="Q347" s="7"/>
      <c r="R347" s="7"/>
      <c r="S347" s="7"/>
      <c r="T347" s="7"/>
      <c r="U347" s="7"/>
      <c r="V347" s="7"/>
      <c r="W347" s="7"/>
      <c r="X347" s="7"/>
      <c r="Y347" s="7"/>
    </row>
    <row r="348" spans="7:25" ht="12.75">
      <c r="G348" s="7"/>
      <c r="H348" s="7"/>
      <c r="I348" s="7"/>
      <c r="J348" s="7"/>
      <c r="K348" s="7"/>
      <c r="L348" s="7"/>
      <c r="M348" s="7"/>
      <c r="N348" s="7"/>
      <c r="O348" s="7"/>
      <c r="P348" s="7"/>
      <c r="Q348" s="7"/>
      <c r="R348" s="7"/>
      <c r="S348" s="7"/>
      <c r="T348" s="7"/>
      <c r="U348" s="7"/>
      <c r="V348" s="7"/>
      <c r="W348" s="7"/>
      <c r="X348" s="7"/>
      <c r="Y348" s="7"/>
    </row>
    <row r="349" spans="7:25" ht="12.75">
      <c r="G349" s="7"/>
      <c r="H349" s="7"/>
      <c r="I349" s="7"/>
      <c r="J349" s="7"/>
      <c r="K349" s="7"/>
      <c r="L349" s="7"/>
      <c r="M349" s="7"/>
      <c r="N349" s="7"/>
      <c r="O349" s="7"/>
      <c r="P349" s="7"/>
      <c r="Q349" s="7"/>
      <c r="R349" s="7"/>
      <c r="S349" s="7"/>
      <c r="T349" s="7"/>
      <c r="U349" s="7"/>
      <c r="V349" s="7"/>
      <c r="W349" s="7"/>
      <c r="X349" s="7"/>
      <c r="Y349" s="7"/>
    </row>
    <row r="350" spans="7:25" ht="12.75">
      <c r="G350" s="7"/>
      <c r="H350" s="7"/>
      <c r="I350" s="7"/>
      <c r="J350" s="7"/>
      <c r="K350" s="7"/>
      <c r="L350" s="7"/>
      <c r="M350" s="7"/>
      <c r="N350" s="7"/>
      <c r="O350" s="7"/>
      <c r="P350" s="7"/>
      <c r="Q350" s="7"/>
      <c r="R350" s="7"/>
      <c r="S350" s="7"/>
      <c r="T350" s="7"/>
      <c r="U350" s="7"/>
      <c r="V350" s="7"/>
      <c r="W350" s="7"/>
      <c r="X350" s="7"/>
      <c r="Y350" s="7"/>
    </row>
    <row r="351" spans="7:25" ht="12.75">
      <c r="G351" s="7"/>
      <c r="H351" s="7"/>
      <c r="I351" s="7"/>
      <c r="J351" s="7"/>
      <c r="K351" s="7"/>
      <c r="L351" s="7"/>
      <c r="M351" s="7"/>
      <c r="N351" s="7"/>
      <c r="O351" s="7"/>
      <c r="P351" s="7"/>
      <c r="Q351" s="7"/>
      <c r="R351" s="7"/>
      <c r="S351" s="7"/>
      <c r="T351" s="7"/>
      <c r="U351" s="7"/>
      <c r="V351" s="7"/>
      <c r="W351" s="7"/>
      <c r="X351" s="7"/>
      <c r="Y351" s="7"/>
    </row>
    <row r="352" spans="7:25" ht="12.75">
      <c r="G352" s="7"/>
      <c r="H352" s="7"/>
      <c r="I352" s="7"/>
      <c r="J352" s="7"/>
      <c r="K352" s="7"/>
      <c r="L352" s="7"/>
      <c r="M352" s="7"/>
      <c r="N352" s="7"/>
      <c r="O352" s="7"/>
      <c r="P352" s="7"/>
      <c r="Q352" s="7"/>
      <c r="R352" s="7"/>
      <c r="S352" s="7"/>
      <c r="T352" s="7"/>
      <c r="U352" s="7"/>
      <c r="V352" s="7"/>
      <c r="W352" s="7"/>
      <c r="X352" s="7"/>
      <c r="Y352" s="7"/>
    </row>
    <row r="353" spans="7:25" ht="12.75">
      <c r="G353" s="7"/>
      <c r="H353" s="7"/>
      <c r="I353" s="7"/>
      <c r="J353" s="7"/>
      <c r="K353" s="7"/>
      <c r="L353" s="7"/>
      <c r="M353" s="7"/>
      <c r="N353" s="7"/>
      <c r="O353" s="7"/>
      <c r="P353" s="7"/>
      <c r="Q353" s="7"/>
      <c r="R353" s="7"/>
      <c r="S353" s="7"/>
      <c r="T353" s="7"/>
      <c r="U353" s="7"/>
      <c r="V353" s="7"/>
      <c r="W353" s="7"/>
      <c r="X353" s="7"/>
      <c r="Y353" s="7"/>
    </row>
    <row r="354" spans="7:25" ht="12.75">
      <c r="G354" s="7"/>
      <c r="H354" s="7"/>
      <c r="I354" s="7"/>
      <c r="J354" s="7"/>
      <c r="K354" s="7"/>
      <c r="L354" s="7"/>
      <c r="M354" s="7"/>
      <c r="N354" s="7"/>
      <c r="O354" s="7"/>
      <c r="P354" s="7"/>
      <c r="Q354" s="7"/>
      <c r="R354" s="7"/>
      <c r="S354" s="7"/>
      <c r="T354" s="7"/>
      <c r="U354" s="7"/>
      <c r="V354" s="7"/>
      <c r="W354" s="7"/>
      <c r="X354" s="7"/>
      <c r="Y354" s="7"/>
    </row>
    <row r="355" spans="7:25" ht="12.75">
      <c r="G355" s="7"/>
      <c r="H355" s="7"/>
      <c r="I355" s="7"/>
      <c r="J355" s="7"/>
      <c r="K355" s="7"/>
      <c r="L355" s="7"/>
      <c r="M355" s="7"/>
      <c r="N355" s="7"/>
      <c r="O355" s="7"/>
      <c r="P355" s="7"/>
      <c r="Q355" s="7"/>
      <c r="R355" s="7"/>
      <c r="S355" s="7"/>
      <c r="T355" s="7"/>
      <c r="U355" s="7"/>
      <c r="V355" s="7"/>
      <c r="W355" s="7"/>
      <c r="X355" s="7"/>
      <c r="Y355" s="7"/>
    </row>
    <row r="356" spans="7:25" ht="12.75">
      <c r="G356" s="7"/>
      <c r="H356" s="7"/>
      <c r="I356" s="7"/>
      <c r="J356" s="7"/>
      <c r="K356" s="7"/>
      <c r="L356" s="7"/>
      <c r="M356" s="7"/>
      <c r="N356" s="7"/>
      <c r="O356" s="7"/>
      <c r="P356" s="7"/>
      <c r="Q356" s="7"/>
      <c r="R356" s="7"/>
      <c r="S356" s="7"/>
      <c r="T356" s="7"/>
      <c r="U356" s="7"/>
      <c r="V356" s="7"/>
      <c r="W356" s="7"/>
      <c r="X356" s="7"/>
      <c r="Y356" s="7"/>
    </row>
    <row r="357" spans="7:25" ht="12.75">
      <c r="G357" s="7"/>
      <c r="H357" s="7"/>
      <c r="I357" s="7"/>
      <c r="J357" s="7"/>
      <c r="K357" s="7"/>
      <c r="L357" s="7"/>
      <c r="M357" s="7"/>
      <c r="N357" s="7"/>
      <c r="O357" s="7"/>
      <c r="P357" s="7"/>
      <c r="Q357" s="7"/>
      <c r="R357" s="7"/>
      <c r="S357" s="7"/>
      <c r="T357" s="7"/>
      <c r="U357" s="7"/>
      <c r="V357" s="7"/>
      <c r="W357" s="7"/>
      <c r="X357" s="7"/>
      <c r="Y357" s="7"/>
    </row>
    <row r="358" spans="7:25" ht="12.75">
      <c r="G358" s="7"/>
      <c r="H358" s="7"/>
      <c r="I358" s="7"/>
      <c r="J358" s="7"/>
      <c r="K358" s="7"/>
      <c r="L358" s="7"/>
      <c r="M358" s="7"/>
      <c r="N358" s="7"/>
      <c r="O358" s="7"/>
      <c r="P358" s="7"/>
      <c r="Q358" s="7"/>
      <c r="R358" s="7"/>
      <c r="S358" s="7"/>
      <c r="T358" s="7"/>
      <c r="U358" s="7"/>
      <c r="V358" s="7"/>
      <c r="W358" s="7"/>
      <c r="X358" s="7"/>
      <c r="Y358" s="7"/>
    </row>
    <row r="359" spans="7:25" ht="12.75">
      <c r="G359" s="7"/>
      <c r="H359" s="7"/>
      <c r="I359" s="7"/>
      <c r="J359" s="7"/>
      <c r="K359" s="7"/>
      <c r="L359" s="7"/>
      <c r="M359" s="7"/>
      <c r="N359" s="7"/>
      <c r="O359" s="7"/>
      <c r="P359" s="7"/>
      <c r="Q359" s="7"/>
      <c r="R359" s="7"/>
      <c r="S359" s="7"/>
      <c r="T359" s="7"/>
      <c r="U359" s="7"/>
      <c r="V359" s="7"/>
      <c r="W359" s="7"/>
      <c r="X359" s="7"/>
      <c r="Y359" s="7"/>
    </row>
    <row r="360" spans="7:25" ht="12.75">
      <c r="G360" s="7"/>
      <c r="H360" s="7"/>
      <c r="I360" s="7"/>
      <c r="J360" s="7"/>
      <c r="K360" s="7"/>
      <c r="L360" s="7"/>
      <c r="M360" s="7"/>
      <c r="N360" s="7"/>
      <c r="O360" s="7"/>
      <c r="P360" s="7"/>
      <c r="Q360" s="7"/>
      <c r="R360" s="7"/>
      <c r="S360" s="7"/>
      <c r="T360" s="7"/>
      <c r="U360" s="7"/>
      <c r="V360" s="7"/>
      <c r="W360" s="7"/>
      <c r="X360" s="7"/>
      <c r="Y360" s="7"/>
    </row>
    <row r="361" spans="7:25" ht="12.75">
      <c r="G361" s="7"/>
      <c r="H361" s="7"/>
      <c r="I361" s="7"/>
      <c r="J361" s="7"/>
      <c r="K361" s="7"/>
      <c r="L361" s="7"/>
      <c r="M361" s="7"/>
      <c r="N361" s="7"/>
      <c r="O361" s="7"/>
      <c r="P361" s="7"/>
      <c r="Q361" s="7"/>
      <c r="R361" s="7"/>
      <c r="S361" s="7"/>
      <c r="T361" s="7"/>
      <c r="U361" s="7"/>
      <c r="V361" s="7"/>
      <c r="W361" s="7"/>
      <c r="X361" s="7"/>
      <c r="Y361" s="7"/>
    </row>
    <row r="362" spans="7:25" ht="12.75">
      <c r="G362" s="7"/>
      <c r="H362" s="7"/>
      <c r="I362" s="7"/>
      <c r="J362" s="7"/>
      <c r="K362" s="7"/>
      <c r="L362" s="7"/>
      <c r="M362" s="7"/>
      <c r="N362" s="7"/>
      <c r="O362" s="7"/>
      <c r="P362" s="7"/>
      <c r="Q362" s="7"/>
      <c r="R362" s="7"/>
      <c r="S362" s="7"/>
      <c r="T362" s="7"/>
      <c r="U362" s="7"/>
      <c r="V362" s="7"/>
      <c r="W362" s="7"/>
      <c r="X362" s="7"/>
      <c r="Y362" s="7"/>
    </row>
    <row r="363" spans="7:25" ht="12.75">
      <c r="G363" s="7"/>
      <c r="H363" s="7"/>
      <c r="I363" s="7"/>
      <c r="J363" s="7"/>
      <c r="K363" s="7"/>
      <c r="L363" s="7"/>
      <c r="M363" s="7"/>
      <c r="N363" s="7"/>
      <c r="O363" s="7"/>
      <c r="P363" s="7"/>
      <c r="Q363" s="7"/>
      <c r="R363" s="7"/>
      <c r="S363" s="7"/>
      <c r="T363" s="7"/>
      <c r="U363" s="7"/>
      <c r="V363" s="7"/>
      <c r="W363" s="7"/>
      <c r="X363" s="7"/>
      <c r="Y363" s="7"/>
    </row>
    <row r="364" spans="7:25" ht="12.75">
      <c r="G364" s="7"/>
      <c r="H364" s="7"/>
      <c r="I364" s="7"/>
      <c r="J364" s="7"/>
      <c r="K364" s="7"/>
      <c r="L364" s="7"/>
      <c r="M364" s="7"/>
      <c r="N364" s="7"/>
      <c r="O364" s="7"/>
      <c r="P364" s="7"/>
      <c r="Q364" s="7"/>
      <c r="R364" s="7"/>
      <c r="S364" s="7"/>
      <c r="T364" s="7"/>
      <c r="U364" s="7"/>
      <c r="V364" s="7"/>
      <c r="W364" s="7"/>
      <c r="X364" s="7"/>
      <c r="Y364" s="7"/>
    </row>
    <row r="365" spans="7:25" ht="12.75">
      <c r="G365" s="7"/>
      <c r="H365" s="7"/>
      <c r="I365" s="7"/>
      <c r="J365" s="7"/>
      <c r="K365" s="7"/>
      <c r="L365" s="7"/>
      <c r="M365" s="7"/>
      <c r="N365" s="7"/>
      <c r="O365" s="7"/>
      <c r="P365" s="7"/>
      <c r="Q365" s="7"/>
      <c r="R365" s="7"/>
      <c r="S365" s="7"/>
      <c r="T365" s="7"/>
      <c r="U365" s="7"/>
      <c r="V365" s="7"/>
      <c r="W365" s="7"/>
      <c r="X365" s="7"/>
      <c r="Y365" s="7"/>
    </row>
    <row r="366" spans="7:25" ht="12.75">
      <c r="G366" s="7"/>
      <c r="H366" s="7"/>
      <c r="I366" s="7"/>
      <c r="J366" s="7"/>
      <c r="K366" s="7"/>
      <c r="L366" s="7"/>
      <c r="M366" s="7"/>
      <c r="N366" s="7"/>
      <c r="O366" s="7"/>
      <c r="P366" s="7"/>
      <c r="Q366" s="7"/>
      <c r="R366" s="7"/>
      <c r="S366" s="7"/>
      <c r="T366" s="7"/>
      <c r="U366" s="7"/>
      <c r="V366" s="7"/>
      <c r="W366" s="7"/>
      <c r="X366" s="7"/>
      <c r="Y366" s="7"/>
    </row>
    <row r="367" spans="7:25" ht="12.75">
      <c r="G367" s="7"/>
      <c r="H367" s="7"/>
      <c r="I367" s="7"/>
      <c r="J367" s="7"/>
      <c r="K367" s="7"/>
      <c r="L367" s="7"/>
      <c r="M367" s="7"/>
      <c r="N367" s="7"/>
      <c r="O367" s="7"/>
      <c r="P367" s="7"/>
      <c r="Q367" s="7"/>
      <c r="R367" s="7"/>
      <c r="S367" s="7"/>
      <c r="T367" s="7"/>
      <c r="U367" s="7"/>
      <c r="V367" s="7"/>
      <c r="W367" s="7"/>
      <c r="X367" s="7"/>
      <c r="Y367" s="7"/>
    </row>
    <row r="368" spans="7:25" ht="12.75">
      <c r="G368" s="7"/>
      <c r="H368" s="7"/>
      <c r="I368" s="7"/>
      <c r="J368" s="7"/>
      <c r="K368" s="7"/>
      <c r="L368" s="7"/>
      <c r="M368" s="7"/>
      <c r="N368" s="7"/>
      <c r="O368" s="7"/>
      <c r="P368" s="7"/>
      <c r="Q368" s="7"/>
      <c r="R368" s="7"/>
      <c r="S368" s="7"/>
      <c r="T368" s="7"/>
      <c r="U368" s="7"/>
      <c r="V368" s="7"/>
      <c r="W368" s="7"/>
      <c r="X368" s="7"/>
      <c r="Y368" s="7"/>
    </row>
    <row r="369" spans="7:25" ht="12.75">
      <c r="G369" s="7"/>
      <c r="H369" s="7"/>
      <c r="I369" s="7"/>
      <c r="J369" s="7"/>
      <c r="K369" s="7"/>
      <c r="L369" s="7"/>
      <c r="M369" s="7"/>
      <c r="N369" s="7"/>
      <c r="O369" s="7"/>
      <c r="P369" s="7"/>
      <c r="Q369" s="7"/>
      <c r="R369" s="7"/>
      <c r="S369" s="7"/>
      <c r="T369" s="7"/>
      <c r="U369" s="7"/>
      <c r="V369" s="7"/>
      <c r="W369" s="7"/>
      <c r="X369" s="7"/>
      <c r="Y369" s="7"/>
    </row>
    <row r="370" spans="7:25" ht="12.75">
      <c r="G370" s="7"/>
      <c r="H370" s="7"/>
      <c r="I370" s="7"/>
      <c r="J370" s="7"/>
      <c r="K370" s="7"/>
      <c r="L370" s="7"/>
      <c r="M370" s="7"/>
      <c r="N370" s="7"/>
      <c r="O370" s="7"/>
      <c r="P370" s="7"/>
      <c r="Q370" s="7"/>
      <c r="R370" s="7"/>
      <c r="S370" s="7"/>
      <c r="T370" s="7"/>
      <c r="U370" s="7"/>
      <c r="V370" s="7"/>
      <c r="W370" s="7"/>
      <c r="X370" s="7"/>
      <c r="Y370" s="7"/>
    </row>
    <row r="371" spans="7:25" ht="12.75">
      <c r="G371" s="7"/>
      <c r="H371" s="7"/>
      <c r="I371" s="7"/>
      <c r="J371" s="7"/>
      <c r="K371" s="7"/>
      <c r="L371" s="7"/>
      <c r="M371" s="7"/>
      <c r="N371" s="7"/>
      <c r="O371" s="7"/>
      <c r="P371" s="7"/>
      <c r="Q371" s="7"/>
      <c r="R371" s="7"/>
      <c r="S371" s="7"/>
      <c r="T371" s="7"/>
      <c r="U371" s="7"/>
      <c r="V371" s="7"/>
      <c r="W371" s="7"/>
      <c r="X371" s="7"/>
      <c r="Y371" s="7"/>
    </row>
    <row r="372" spans="7:25" ht="12.75">
      <c r="G372" s="7"/>
      <c r="H372" s="7"/>
      <c r="I372" s="7"/>
      <c r="J372" s="7"/>
      <c r="K372" s="7"/>
      <c r="L372" s="7"/>
      <c r="M372" s="7"/>
      <c r="N372" s="7"/>
      <c r="O372" s="7"/>
      <c r="P372" s="7"/>
      <c r="Q372" s="7"/>
      <c r="R372" s="7"/>
      <c r="S372" s="7"/>
      <c r="T372" s="7"/>
      <c r="U372" s="7"/>
      <c r="V372" s="7"/>
      <c r="W372" s="7"/>
      <c r="X372" s="7"/>
      <c r="Y372" s="7"/>
    </row>
    <row r="373" spans="7:25" ht="12.75">
      <c r="G373" s="7"/>
      <c r="H373" s="7"/>
      <c r="I373" s="7"/>
      <c r="J373" s="7"/>
      <c r="K373" s="7"/>
      <c r="L373" s="7"/>
      <c r="M373" s="7"/>
      <c r="N373" s="7"/>
      <c r="O373" s="7"/>
      <c r="P373" s="7"/>
      <c r="Q373" s="7"/>
      <c r="R373" s="7"/>
      <c r="S373" s="7"/>
      <c r="T373" s="7"/>
      <c r="U373" s="7"/>
      <c r="V373" s="7"/>
      <c r="W373" s="7"/>
      <c r="X373" s="7"/>
      <c r="Y373" s="7"/>
    </row>
    <row r="374" spans="7:25" ht="12.75">
      <c r="G374" s="7"/>
      <c r="H374" s="7"/>
      <c r="I374" s="7"/>
      <c r="J374" s="7"/>
      <c r="K374" s="7"/>
      <c r="L374" s="7"/>
      <c r="M374" s="7"/>
      <c r="N374" s="7"/>
      <c r="O374" s="7"/>
      <c r="P374" s="7"/>
      <c r="Q374" s="7"/>
      <c r="R374" s="7"/>
      <c r="S374" s="7"/>
      <c r="T374" s="7"/>
      <c r="U374" s="7"/>
      <c r="V374" s="7"/>
      <c r="W374" s="7"/>
      <c r="X374" s="7"/>
      <c r="Y374" s="7"/>
    </row>
    <row r="375" spans="7:25" ht="12.75">
      <c r="G375" s="7"/>
      <c r="H375" s="7"/>
      <c r="I375" s="7"/>
      <c r="J375" s="7"/>
      <c r="K375" s="7"/>
      <c r="L375" s="7"/>
      <c r="M375" s="7"/>
      <c r="N375" s="7"/>
      <c r="O375" s="7"/>
      <c r="P375" s="7"/>
      <c r="Q375" s="7"/>
      <c r="R375" s="7"/>
      <c r="S375" s="7"/>
      <c r="T375" s="7"/>
      <c r="U375" s="7"/>
      <c r="V375" s="7"/>
      <c r="W375" s="7"/>
      <c r="X375" s="7"/>
      <c r="Y375" s="7"/>
    </row>
    <row r="376" spans="7:25" ht="12.75">
      <c r="G376" s="7"/>
      <c r="H376" s="7"/>
      <c r="I376" s="7"/>
      <c r="J376" s="7"/>
      <c r="K376" s="7"/>
      <c r="L376" s="7"/>
      <c r="M376" s="7"/>
      <c r="N376" s="7"/>
      <c r="O376" s="7"/>
      <c r="P376" s="7"/>
      <c r="Q376" s="7"/>
      <c r="R376" s="7"/>
      <c r="S376" s="7"/>
      <c r="T376" s="7"/>
      <c r="U376" s="7"/>
      <c r="V376" s="7"/>
      <c r="W376" s="7"/>
      <c r="X376" s="7"/>
      <c r="Y376" s="7"/>
    </row>
    <row r="377" spans="7:25" ht="30">
      <c r="G377" s="75"/>
      <c r="H377" s="76"/>
      <c r="I377" s="7"/>
      <c r="J377" s="7"/>
      <c r="K377" s="7"/>
      <c r="L377" s="7"/>
      <c r="M377" s="7"/>
      <c r="N377" s="77"/>
      <c r="O377" s="77"/>
      <c r="P377" s="77"/>
      <c r="Q377" s="7"/>
      <c r="R377" s="7"/>
      <c r="S377" s="7"/>
      <c r="T377" s="7"/>
      <c r="U377" s="7"/>
      <c r="V377" s="7"/>
      <c r="W377" s="7"/>
      <c r="X377" s="7"/>
      <c r="Y377" s="7"/>
    </row>
    <row r="378" spans="7:25" ht="12.75">
      <c r="G378" s="7"/>
      <c r="H378" s="7"/>
      <c r="I378" s="7"/>
      <c r="J378" s="7"/>
      <c r="K378" s="7"/>
      <c r="L378" s="7"/>
      <c r="M378" s="7"/>
      <c r="N378" s="7"/>
      <c r="O378" s="7"/>
      <c r="P378" s="7"/>
      <c r="Q378" s="7"/>
      <c r="R378" s="7"/>
      <c r="S378" s="7"/>
      <c r="T378" s="7"/>
      <c r="U378" s="7"/>
      <c r="V378" s="7"/>
      <c r="W378" s="7"/>
      <c r="X378" s="7"/>
      <c r="Y378" s="7"/>
    </row>
    <row r="379" spans="7:25" ht="18">
      <c r="G379" s="78"/>
      <c r="H379" s="79"/>
      <c r="I379" s="11"/>
      <c r="J379" s="11"/>
      <c r="K379" s="78"/>
      <c r="L379" s="78"/>
      <c r="M379" s="78"/>
      <c r="N379" s="11"/>
      <c r="O379" s="80"/>
      <c r="P379" s="7"/>
      <c r="Q379" s="81"/>
      <c r="R379" s="11"/>
      <c r="S379" s="11"/>
      <c r="T379" s="11"/>
      <c r="U379" s="11"/>
      <c r="V379" s="11"/>
      <c r="W379" s="11"/>
      <c r="X379" s="11"/>
      <c r="Y379" s="11"/>
    </row>
    <row r="380" spans="7:25" ht="12.75">
      <c r="G380" s="104"/>
      <c r="H380" s="104"/>
      <c r="I380" s="104"/>
      <c r="J380" s="104"/>
      <c r="K380" s="104"/>
      <c r="L380" s="104"/>
      <c r="M380" s="105"/>
      <c r="N380" s="106"/>
      <c r="O380" s="7"/>
      <c r="P380" s="107"/>
      <c r="Q380" s="54"/>
      <c r="R380" s="50"/>
      <c r="S380" s="7"/>
      <c r="T380" s="7"/>
      <c r="U380" s="7"/>
      <c r="V380" s="7"/>
      <c r="W380" s="7"/>
      <c r="X380" s="7"/>
      <c r="Y380" s="7"/>
    </row>
    <row r="381" spans="7:25" ht="12.75">
      <c r="G381" s="110"/>
      <c r="H381" s="7"/>
      <c r="I381" s="107"/>
      <c r="J381" s="107"/>
      <c r="K381" s="7"/>
      <c r="L381" s="7"/>
      <c r="M381" s="112"/>
      <c r="N381" s="113"/>
      <c r="O381" s="112"/>
      <c r="P381" s="113"/>
      <c r="Q381" s="109"/>
      <c r="R381" s="50"/>
      <c r="S381" s="7"/>
      <c r="T381" s="7"/>
      <c r="U381" s="7"/>
      <c r="V381" s="7"/>
      <c r="W381" s="7"/>
      <c r="X381" s="7"/>
      <c r="Y381" s="7"/>
    </row>
    <row r="382" spans="7:25" ht="12.75">
      <c r="G382" s="110"/>
      <c r="H382" s="107"/>
      <c r="I382" s="18"/>
      <c r="J382" s="18"/>
      <c r="K382" s="37"/>
      <c r="L382" s="37"/>
      <c r="M382" s="37"/>
      <c r="N382" s="50"/>
      <c r="O382" s="7"/>
      <c r="P382" s="54"/>
      <c r="Q382" s="64"/>
      <c r="R382" s="110"/>
      <c r="S382" s="7"/>
      <c r="T382" s="7"/>
      <c r="U382" s="7"/>
      <c r="V382" s="7"/>
      <c r="W382" s="7"/>
      <c r="X382" s="7"/>
      <c r="Y382" s="7"/>
    </row>
    <row r="383" spans="7:25" ht="12.75">
      <c r="G383" s="37"/>
      <c r="H383" s="37"/>
      <c r="I383" s="50"/>
      <c r="J383" s="50"/>
      <c r="K383" s="107"/>
      <c r="L383" s="107"/>
      <c r="M383" s="37"/>
      <c r="N383" s="50"/>
      <c r="O383" s="7"/>
      <c r="P383" s="107"/>
      <c r="Q383" s="37"/>
      <c r="R383" s="111"/>
      <c r="S383" s="7"/>
      <c r="T383" s="7"/>
      <c r="U383" s="7"/>
      <c r="V383" s="7"/>
      <c r="W383" s="7"/>
      <c r="X383" s="7"/>
      <c r="Y383" s="7"/>
    </row>
    <row r="384" spans="7:25" ht="12.75">
      <c r="G384" s="7"/>
      <c r="H384" s="54"/>
      <c r="I384" s="50"/>
      <c r="J384" s="50"/>
      <c r="K384" s="37"/>
      <c r="L384" s="37"/>
      <c r="M384" s="37"/>
      <c r="N384" s="62"/>
      <c r="O384" s="7"/>
      <c r="P384" s="37"/>
      <c r="Q384" s="7"/>
      <c r="R384" s="7"/>
      <c r="S384" s="7"/>
      <c r="T384" s="7"/>
      <c r="U384" s="7"/>
      <c r="V384" s="7"/>
      <c r="W384" s="7"/>
      <c r="X384" s="7"/>
      <c r="Y384" s="7"/>
    </row>
    <row r="385" spans="7:25" ht="12.75">
      <c r="G385" s="7"/>
      <c r="H385" s="7"/>
      <c r="I385" s="7"/>
      <c r="J385" s="7"/>
      <c r="K385" s="7"/>
      <c r="L385" s="7"/>
      <c r="M385" s="7"/>
      <c r="N385" s="7"/>
      <c r="O385" s="7"/>
      <c r="P385" s="7"/>
      <c r="Q385" s="7"/>
      <c r="R385" s="7"/>
      <c r="S385" s="7"/>
      <c r="T385" s="7"/>
      <c r="U385" s="7"/>
      <c r="V385" s="7"/>
      <c r="W385" s="7"/>
      <c r="X385" s="7"/>
      <c r="Y385" s="7"/>
    </row>
    <row r="386" spans="7:25" ht="12.75">
      <c r="G386" s="7"/>
      <c r="H386" s="112"/>
      <c r="I386" s="96"/>
      <c r="J386" s="96"/>
      <c r="K386" s="23"/>
      <c r="L386" s="23"/>
      <c r="M386" s="23"/>
      <c r="N386" s="23"/>
      <c r="O386" s="23"/>
      <c r="P386" s="23"/>
      <c r="Q386" s="23"/>
      <c r="R386" s="50"/>
      <c r="S386" s="7"/>
      <c r="T386" s="7"/>
      <c r="U386" s="7"/>
      <c r="V386" s="7"/>
      <c r="W386" s="7"/>
      <c r="X386" s="7"/>
      <c r="Y386" s="7"/>
    </row>
    <row r="387" spans="7:25" ht="12.75">
      <c r="G387" s="54"/>
      <c r="H387" s="112"/>
      <c r="I387" s="96"/>
      <c r="J387" s="96"/>
      <c r="K387" s="23"/>
      <c r="L387" s="23"/>
      <c r="M387" s="23"/>
      <c r="N387" s="23"/>
      <c r="O387" s="23"/>
      <c r="P387" s="23"/>
      <c r="Q387" s="23"/>
      <c r="R387" s="23"/>
      <c r="S387" s="50"/>
      <c r="T387" s="50"/>
      <c r="U387" s="50"/>
      <c r="V387" s="50"/>
      <c r="W387" s="50"/>
      <c r="X387" s="50"/>
      <c r="Y387" s="50"/>
    </row>
    <row r="388" spans="7:25" ht="12.75">
      <c r="G388" s="7"/>
      <c r="H388" s="95"/>
      <c r="I388" s="96"/>
      <c r="J388" s="96"/>
      <c r="K388" s="64"/>
      <c r="L388" s="64"/>
      <c r="M388" s="64"/>
      <c r="N388" s="64"/>
      <c r="O388" s="64"/>
      <c r="P388" s="64"/>
      <c r="Q388" s="64"/>
      <c r="R388" s="64"/>
      <c r="S388" s="7"/>
      <c r="T388" s="7"/>
      <c r="U388" s="7"/>
      <c r="V388" s="7"/>
      <c r="W388" s="7"/>
      <c r="X388" s="7"/>
      <c r="Y388" s="7"/>
    </row>
    <row r="389" spans="7:25" ht="12.75">
      <c r="G389" s="7"/>
      <c r="H389" s="95"/>
      <c r="I389" s="96"/>
      <c r="J389" s="96"/>
      <c r="K389" s="18"/>
      <c r="L389" s="18"/>
      <c r="M389" s="18"/>
      <c r="N389" s="18"/>
      <c r="O389" s="18"/>
      <c r="P389" s="18"/>
      <c r="Q389" s="18"/>
      <c r="R389" s="18"/>
      <c r="S389" s="7"/>
      <c r="T389" s="7"/>
      <c r="U389" s="7"/>
      <c r="V389" s="7"/>
      <c r="W389" s="7"/>
      <c r="X389" s="7"/>
      <c r="Y389" s="7"/>
    </row>
    <row r="390" spans="7:25" ht="12.75">
      <c r="G390" s="7"/>
      <c r="H390" s="7"/>
      <c r="I390" s="7"/>
      <c r="J390" s="7"/>
      <c r="K390" s="7"/>
      <c r="L390" s="7"/>
      <c r="M390" s="7"/>
      <c r="N390" s="7"/>
      <c r="O390" s="7"/>
      <c r="P390" s="7"/>
      <c r="Q390" s="7"/>
      <c r="R390" s="7"/>
      <c r="S390" s="7"/>
      <c r="T390" s="7"/>
      <c r="U390" s="7"/>
      <c r="V390" s="7"/>
      <c r="W390" s="7"/>
      <c r="X390" s="7"/>
      <c r="Y390" s="7"/>
    </row>
    <row r="391" spans="7:25" ht="12.75">
      <c r="G391" s="7"/>
      <c r="H391" s="7"/>
      <c r="I391" s="54"/>
      <c r="J391" s="54"/>
      <c r="K391" s="7"/>
      <c r="L391" s="7"/>
      <c r="M391" s="54"/>
      <c r="N391" s="54"/>
      <c r="O391" s="54"/>
      <c r="P391" s="54"/>
      <c r="Q391" s="54"/>
      <c r="R391" s="54"/>
      <c r="S391" s="54"/>
      <c r="T391" s="54"/>
      <c r="U391" s="54"/>
      <c r="V391" s="54"/>
      <c r="W391" s="54"/>
      <c r="X391" s="54"/>
      <c r="Y391" s="54"/>
    </row>
    <row r="392" spans="7:25" ht="12.75">
      <c r="G392" s="54"/>
      <c r="H392" s="54"/>
      <c r="I392" s="54"/>
      <c r="J392" s="54"/>
      <c r="K392" s="37"/>
      <c r="L392" s="37"/>
      <c r="M392" s="54"/>
      <c r="N392" s="54"/>
      <c r="O392" s="54"/>
      <c r="P392" s="54"/>
      <c r="Q392" s="37"/>
      <c r="R392" s="58"/>
      <c r="S392" s="58"/>
      <c r="T392" s="58"/>
      <c r="U392" s="58"/>
      <c r="V392" s="58"/>
      <c r="W392" s="58"/>
      <c r="X392" s="58"/>
      <c r="Y392" s="58"/>
    </row>
    <row r="393" spans="7:25" ht="12.75">
      <c r="G393" s="7"/>
      <c r="H393" s="7"/>
      <c r="I393" s="7"/>
      <c r="J393" s="7"/>
      <c r="K393" s="7"/>
      <c r="L393" s="7"/>
      <c r="M393" s="50"/>
      <c r="N393" s="50"/>
      <c r="O393" s="97"/>
      <c r="P393" s="7"/>
      <c r="Q393" s="7"/>
      <c r="R393" s="23"/>
      <c r="S393" s="63"/>
      <c r="T393" s="63"/>
      <c r="U393" s="63"/>
      <c r="V393" s="63"/>
      <c r="W393" s="63"/>
      <c r="X393" s="63"/>
      <c r="Y393" s="63"/>
    </row>
    <row r="394" spans="7:25" ht="12.75">
      <c r="G394" s="50"/>
      <c r="H394" s="50"/>
      <c r="I394" s="23"/>
      <c r="J394" s="23"/>
      <c r="K394" s="64"/>
      <c r="L394" s="64"/>
      <c r="M394" s="64"/>
      <c r="N394" s="64"/>
      <c r="O394" s="98"/>
      <c r="P394" s="18"/>
      <c r="Q394" s="50"/>
      <c r="R394" s="23"/>
      <c r="S394" s="67"/>
      <c r="T394" s="67"/>
      <c r="U394" s="67"/>
      <c r="V394" s="67"/>
      <c r="W394" s="67"/>
      <c r="X394" s="67"/>
      <c r="Y394" s="67"/>
    </row>
    <row r="395" spans="7:25" ht="12.75">
      <c r="G395" s="50"/>
      <c r="H395" s="50"/>
      <c r="I395" s="23"/>
      <c r="J395" s="23"/>
      <c r="K395" s="64"/>
      <c r="L395" s="64"/>
      <c r="M395" s="50"/>
      <c r="N395" s="64"/>
      <c r="O395" s="7"/>
      <c r="P395" s="18"/>
      <c r="Q395" s="50"/>
      <c r="R395" s="23"/>
      <c r="S395" s="67"/>
      <c r="T395" s="67"/>
      <c r="U395" s="67"/>
      <c r="V395" s="67"/>
      <c r="W395" s="67"/>
      <c r="X395" s="67"/>
      <c r="Y395" s="67"/>
    </row>
    <row r="396" spans="7:25" ht="12.75">
      <c r="G396" s="54"/>
      <c r="H396" s="99"/>
      <c r="I396" s="23"/>
      <c r="J396" s="23"/>
      <c r="K396" s="64"/>
      <c r="L396" s="64"/>
      <c r="M396" s="18"/>
      <c r="N396" s="64"/>
      <c r="O396" s="7"/>
      <c r="P396" s="18"/>
      <c r="Q396" s="50"/>
      <c r="R396" s="23"/>
      <c r="S396" s="67"/>
      <c r="T396" s="67"/>
      <c r="U396" s="67"/>
      <c r="V396" s="67"/>
      <c r="W396" s="67"/>
      <c r="X396" s="67"/>
      <c r="Y396" s="67"/>
    </row>
    <row r="397" spans="7:25" ht="12.75">
      <c r="G397" s="54"/>
      <c r="H397" s="54"/>
      <c r="I397" s="23"/>
      <c r="J397" s="23"/>
      <c r="K397" s="64"/>
      <c r="L397" s="64"/>
      <c r="M397" s="18"/>
      <c r="N397" s="64"/>
      <c r="O397" s="7"/>
      <c r="P397" s="18"/>
      <c r="Q397" s="50"/>
      <c r="R397" s="23"/>
      <c r="S397" s="67"/>
      <c r="T397" s="67"/>
      <c r="U397" s="67"/>
      <c r="V397" s="67"/>
      <c r="W397" s="67"/>
      <c r="X397" s="67"/>
      <c r="Y397" s="67"/>
    </row>
    <row r="398" spans="7:25" ht="12.75">
      <c r="G398" s="50"/>
      <c r="H398" s="50"/>
      <c r="I398" s="23"/>
      <c r="J398" s="23"/>
      <c r="K398" s="64"/>
      <c r="L398" s="64"/>
      <c r="M398" s="64"/>
      <c r="N398" s="64"/>
      <c r="O398" s="98"/>
      <c r="P398" s="18"/>
      <c r="Q398" s="50"/>
      <c r="R398" s="23"/>
      <c r="S398" s="67"/>
      <c r="T398" s="67"/>
      <c r="U398" s="67"/>
      <c r="V398" s="67"/>
      <c r="W398" s="67"/>
      <c r="X398" s="67"/>
      <c r="Y398" s="67"/>
    </row>
    <row r="399" spans="7:25" ht="12.75">
      <c r="G399" s="50"/>
      <c r="H399" s="50"/>
      <c r="I399" s="23"/>
      <c r="J399" s="23"/>
      <c r="K399" s="64"/>
      <c r="L399" s="64"/>
      <c r="M399" s="50"/>
      <c r="N399" s="64"/>
      <c r="O399" s="7"/>
      <c r="P399" s="18"/>
      <c r="Q399" s="18"/>
      <c r="R399" s="23"/>
      <c r="S399" s="67"/>
      <c r="T399" s="67"/>
      <c r="U399" s="67"/>
      <c r="V399" s="67"/>
      <c r="W399" s="67"/>
      <c r="X399" s="67"/>
      <c r="Y399" s="67"/>
    </row>
    <row r="400" spans="7:25" ht="12.75">
      <c r="G400" s="99"/>
      <c r="H400" s="99"/>
      <c r="I400" s="23"/>
      <c r="J400" s="23"/>
      <c r="K400" s="64"/>
      <c r="L400" s="64"/>
      <c r="M400" s="18"/>
      <c r="N400" s="64"/>
      <c r="O400" s="97"/>
      <c r="P400" s="18"/>
      <c r="Q400" s="50"/>
      <c r="R400" s="23"/>
      <c r="S400" s="67"/>
      <c r="T400" s="67"/>
      <c r="U400" s="67"/>
      <c r="V400" s="67"/>
      <c r="W400" s="67"/>
      <c r="X400" s="67"/>
      <c r="Y400" s="67"/>
    </row>
    <row r="401" spans="7:25" ht="12.75">
      <c r="G401" s="50"/>
      <c r="H401" s="54"/>
      <c r="I401" s="23"/>
      <c r="J401" s="23"/>
      <c r="K401" s="64"/>
      <c r="L401" s="64"/>
      <c r="M401" s="18"/>
      <c r="N401" s="64"/>
      <c r="O401" s="7"/>
      <c r="P401" s="18"/>
      <c r="Q401" s="50"/>
      <c r="R401" s="23"/>
      <c r="S401" s="67"/>
      <c r="T401" s="67"/>
      <c r="U401" s="67"/>
      <c r="V401" s="67"/>
      <c r="W401" s="67"/>
      <c r="X401" s="67"/>
      <c r="Y401" s="67"/>
    </row>
    <row r="402" spans="7:25" ht="12.75">
      <c r="G402" s="50"/>
      <c r="H402" s="50"/>
      <c r="I402" s="23"/>
      <c r="J402" s="23"/>
      <c r="K402" s="64"/>
      <c r="L402" s="64"/>
      <c r="M402" s="64"/>
      <c r="N402" s="64"/>
      <c r="O402" s="98"/>
      <c r="P402" s="18"/>
      <c r="Q402" s="50"/>
      <c r="R402" s="23"/>
      <c r="S402" s="67"/>
      <c r="T402" s="67"/>
      <c r="U402" s="67"/>
      <c r="V402" s="67"/>
      <c r="W402" s="67"/>
      <c r="X402" s="67"/>
      <c r="Y402" s="67"/>
    </row>
    <row r="403" spans="7:25" ht="12.75">
      <c r="G403" s="50"/>
      <c r="H403" s="50"/>
      <c r="I403" s="23"/>
      <c r="J403" s="23"/>
      <c r="K403" s="64"/>
      <c r="L403" s="64"/>
      <c r="M403" s="50"/>
      <c r="N403" s="64"/>
      <c r="O403" s="7"/>
      <c r="P403" s="18"/>
      <c r="Q403" s="50"/>
      <c r="R403" s="23"/>
      <c r="S403" s="67"/>
      <c r="T403" s="67"/>
      <c r="U403" s="67"/>
      <c r="V403" s="67"/>
      <c r="W403" s="67"/>
      <c r="X403" s="67"/>
      <c r="Y403" s="67"/>
    </row>
    <row r="404" spans="7:25" ht="12.75">
      <c r="G404" s="99"/>
      <c r="H404" s="99"/>
      <c r="I404" s="23"/>
      <c r="J404" s="23"/>
      <c r="K404" s="64"/>
      <c r="L404" s="64"/>
      <c r="M404" s="18"/>
      <c r="N404" s="64"/>
      <c r="O404" s="7"/>
      <c r="P404" s="18"/>
      <c r="Q404" s="50"/>
      <c r="R404" s="23"/>
      <c r="S404" s="67"/>
      <c r="T404" s="67"/>
      <c r="U404" s="67"/>
      <c r="V404" s="67"/>
      <c r="W404" s="67"/>
      <c r="X404" s="67"/>
      <c r="Y404" s="67"/>
    </row>
    <row r="405" spans="7:25" ht="12.75">
      <c r="G405" s="50"/>
      <c r="H405" s="54"/>
      <c r="I405" s="23"/>
      <c r="J405" s="23"/>
      <c r="K405" s="64"/>
      <c r="L405" s="64"/>
      <c r="M405" s="18"/>
      <c r="N405" s="64"/>
      <c r="O405" s="7"/>
      <c r="P405" s="18"/>
      <c r="Q405" s="50"/>
      <c r="R405" s="23"/>
      <c r="S405" s="67"/>
      <c r="T405" s="67"/>
      <c r="U405" s="67"/>
      <c r="V405" s="67"/>
      <c r="W405" s="67"/>
      <c r="X405" s="67"/>
      <c r="Y405" s="67"/>
    </row>
    <row r="406" spans="7:25" ht="12.75">
      <c r="G406" s="50"/>
      <c r="H406" s="50"/>
      <c r="I406" s="23"/>
      <c r="J406" s="23"/>
      <c r="K406" s="64"/>
      <c r="L406" s="64"/>
      <c r="M406" s="64"/>
      <c r="N406" s="64"/>
      <c r="O406" s="98"/>
      <c r="P406" s="18"/>
      <c r="Q406" s="50"/>
      <c r="R406" s="23"/>
      <c r="S406" s="67"/>
      <c r="T406" s="67"/>
      <c r="U406" s="67"/>
      <c r="V406" s="67"/>
      <c r="W406" s="67"/>
      <c r="X406" s="67"/>
      <c r="Y406" s="67"/>
    </row>
    <row r="407" spans="7:25" ht="12.75">
      <c r="G407" s="50"/>
      <c r="H407" s="50"/>
      <c r="I407" s="23"/>
      <c r="J407" s="23"/>
      <c r="K407" s="64"/>
      <c r="L407" s="64"/>
      <c r="M407" s="50"/>
      <c r="N407" s="64"/>
      <c r="O407" s="7"/>
      <c r="P407" s="18"/>
      <c r="Q407" s="50"/>
      <c r="R407" s="23"/>
      <c r="S407" s="67"/>
      <c r="T407" s="67"/>
      <c r="U407" s="67"/>
      <c r="V407" s="67"/>
      <c r="W407" s="67"/>
      <c r="X407" s="67"/>
      <c r="Y407" s="67"/>
    </row>
    <row r="408" spans="7:25" ht="12.75">
      <c r="G408" s="99"/>
      <c r="H408" s="99"/>
      <c r="I408" s="23"/>
      <c r="J408" s="23"/>
      <c r="K408" s="64"/>
      <c r="L408" s="64"/>
      <c r="M408" s="18"/>
      <c r="N408" s="64"/>
      <c r="O408" s="97"/>
      <c r="P408" s="18"/>
      <c r="Q408" s="50"/>
      <c r="R408" s="23"/>
      <c r="S408" s="67"/>
      <c r="T408" s="67"/>
      <c r="U408" s="67"/>
      <c r="V408" s="67"/>
      <c r="W408" s="67"/>
      <c r="X408" s="67"/>
      <c r="Y408" s="67"/>
    </row>
    <row r="409" spans="7:25" ht="12.75">
      <c r="G409" s="50"/>
      <c r="H409" s="7"/>
      <c r="I409" s="23"/>
      <c r="J409" s="23"/>
      <c r="K409" s="7"/>
      <c r="L409" s="7"/>
      <c r="M409" s="18"/>
      <c r="N409" s="64"/>
      <c r="O409" s="7"/>
      <c r="P409" s="18"/>
      <c r="Q409" s="50"/>
      <c r="R409" s="23"/>
      <c r="S409" s="67"/>
      <c r="T409" s="67"/>
      <c r="U409" s="67"/>
      <c r="V409" s="67"/>
      <c r="W409" s="67"/>
      <c r="X409" s="67"/>
      <c r="Y409" s="67"/>
    </row>
    <row r="410" spans="7:25" ht="12.75">
      <c r="G410" s="50"/>
      <c r="H410" s="50"/>
      <c r="I410" s="23"/>
      <c r="J410" s="23"/>
      <c r="K410" s="64"/>
      <c r="L410" s="64"/>
      <c r="M410" s="64"/>
      <c r="N410" s="64"/>
      <c r="O410" s="98"/>
      <c r="P410" s="18"/>
      <c r="Q410" s="50"/>
      <c r="R410" s="23"/>
      <c r="S410" s="67"/>
      <c r="T410" s="67"/>
      <c r="U410" s="67"/>
      <c r="V410" s="67"/>
      <c r="W410" s="67"/>
      <c r="X410" s="67"/>
      <c r="Y410" s="67"/>
    </row>
    <row r="411" spans="7:25" ht="12.75">
      <c r="G411" s="50"/>
      <c r="H411" s="50"/>
      <c r="I411" s="23"/>
      <c r="J411" s="23"/>
      <c r="K411" s="64"/>
      <c r="L411" s="64"/>
      <c r="M411" s="50"/>
      <c r="N411" s="64"/>
      <c r="O411" s="7"/>
      <c r="P411" s="18"/>
      <c r="Q411" s="50"/>
      <c r="R411" s="23"/>
      <c r="S411" s="67"/>
      <c r="T411" s="67"/>
      <c r="U411" s="67"/>
      <c r="V411" s="67"/>
      <c r="W411" s="67"/>
      <c r="X411" s="67"/>
      <c r="Y411" s="67"/>
    </row>
    <row r="412" spans="7:25" ht="12.75">
      <c r="G412" s="99"/>
      <c r="H412" s="99"/>
      <c r="I412" s="23"/>
      <c r="J412" s="23"/>
      <c r="K412" s="64"/>
      <c r="L412" s="64"/>
      <c r="M412" s="18"/>
      <c r="N412" s="64"/>
      <c r="O412" s="7"/>
      <c r="P412" s="18"/>
      <c r="Q412" s="50"/>
      <c r="R412" s="23"/>
      <c r="S412" s="67"/>
      <c r="T412" s="67"/>
      <c r="U412" s="67"/>
      <c r="V412" s="67"/>
      <c r="W412" s="67"/>
      <c r="X412" s="67"/>
      <c r="Y412" s="67"/>
    </row>
    <row r="413" spans="7:25" ht="12.75">
      <c r="G413" s="50"/>
      <c r="H413" s="54"/>
      <c r="I413" s="23"/>
      <c r="J413" s="23"/>
      <c r="K413" s="64"/>
      <c r="L413" s="64"/>
      <c r="M413" s="18"/>
      <c r="N413" s="64"/>
      <c r="O413" s="7"/>
      <c r="P413" s="18"/>
      <c r="Q413" s="50"/>
      <c r="R413" s="23"/>
      <c r="S413" s="67"/>
      <c r="T413" s="67"/>
      <c r="U413" s="67"/>
      <c r="V413" s="67"/>
      <c r="W413" s="67"/>
      <c r="X413" s="67"/>
      <c r="Y413" s="67"/>
    </row>
    <row r="414" spans="7:25" ht="12.75">
      <c r="G414" s="50"/>
      <c r="H414" s="50"/>
      <c r="I414" s="23"/>
      <c r="J414" s="23"/>
      <c r="K414" s="64"/>
      <c r="L414" s="64"/>
      <c r="M414" s="64"/>
      <c r="N414" s="64"/>
      <c r="O414" s="98"/>
      <c r="P414" s="18"/>
      <c r="Q414" s="50"/>
      <c r="R414" s="23"/>
      <c r="S414" s="67"/>
      <c r="T414" s="67"/>
      <c r="U414" s="67"/>
      <c r="V414" s="67"/>
      <c r="W414" s="67"/>
      <c r="X414" s="67"/>
      <c r="Y414" s="67"/>
    </row>
    <row r="415" spans="7:25" ht="12.75">
      <c r="G415" s="50"/>
      <c r="H415" s="50"/>
      <c r="I415" s="23"/>
      <c r="J415" s="23"/>
      <c r="K415" s="64"/>
      <c r="L415" s="64"/>
      <c r="M415" s="50"/>
      <c r="N415" s="64"/>
      <c r="O415" s="7"/>
      <c r="P415" s="18"/>
      <c r="Q415" s="50"/>
      <c r="R415" s="23"/>
      <c r="S415" s="67"/>
      <c r="T415" s="67"/>
      <c r="U415" s="67"/>
      <c r="V415" s="67"/>
      <c r="W415" s="67"/>
      <c r="X415" s="67"/>
      <c r="Y415" s="67"/>
    </row>
    <row r="416" spans="7:25" ht="12.75">
      <c r="G416" s="99"/>
      <c r="H416" s="99"/>
      <c r="I416" s="23"/>
      <c r="J416" s="23"/>
      <c r="K416" s="64"/>
      <c r="L416" s="64"/>
      <c r="M416" s="18"/>
      <c r="N416" s="64"/>
      <c r="O416" s="7"/>
      <c r="P416" s="18"/>
      <c r="Q416" s="50"/>
      <c r="R416" s="23"/>
      <c r="S416" s="67"/>
      <c r="T416" s="67"/>
      <c r="U416" s="67"/>
      <c r="V416" s="67"/>
      <c r="W416" s="67"/>
      <c r="X416" s="67"/>
      <c r="Y416" s="67"/>
    </row>
    <row r="417" spans="7:25" ht="12.75">
      <c r="G417" s="50"/>
      <c r="H417" s="54"/>
      <c r="I417" s="23"/>
      <c r="J417" s="23"/>
      <c r="K417" s="64"/>
      <c r="L417" s="64"/>
      <c r="M417" s="18"/>
      <c r="N417" s="64"/>
      <c r="O417" s="50"/>
      <c r="P417" s="18"/>
      <c r="Q417" s="50"/>
      <c r="R417" s="23"/>
      <c r="S417" s="67"/>
      <c r="T417" s="67"/>
      <c r="U417" s="67"/>
      <c r="V417" s="67"/>
      <c r="W417" s="67"/>
      <c r="X417" s="67"/>
      <c r="Y417" s="67"/>
    </row>
    <row r="418" spans="7:25" ht="12.75">
      <c r="G418" s="50"/>
      <c r="H418" s="50"/>
      <c r="I418" s="23"/>
      <c r="J418" s="23"/>
      <c r="K418" s="64"/>
      <c r="L418" s="64"/>
      <c r="M418" s="64"/>
      <c r="N418" s="64"/>
      <c r="O418" s="98"/>
      <c r="P418" s="18"/>
      <c r="Q418" s="50"/>
      <c r="R418" s="23"/>
      <c r="S418" s="67"/>
      <c r="T418" s="67"/>
      <c r="U418" s="67"/>
      <c r="V418" s="67"/>
      <c r="W418" s="67"/>
      <c r="X418" s="67"/>
      <c r="Y418" s="67"/>
    </row>
    <row r="419" spans="7:25" ht="12.75">
      <c r="G419" s="50"/>
      <c r="H419" s="50"/>
      <c r="I419" s="23"/>
      <c r="J419" s="23"/>
      <c r="K419" s="64"/>
      <c r="L419" s="64"/>
      <c r="M419" s="50"/>
      <c r="N419" s="64"/>
      <c r="O419" s="7"/>
      <c r="P419" s="18"/>
      <c r="Q419" s="50"/>
      <c r="R419" s="23"/>
      <c r="S419" s="67"/>
      <c r="T419" s="67"/>
      <c r="U419" s="67"/>
      <c r="V419" s="67"/>
      <c r="W419" s="67"/>
      <c r="X419" s="67"/>
      <c r="Y419" s="67"/>
    </row>
    <row r="420" spans="7:25" ht="12.75">
      <c r="G420" s="99"/>
      <c r="H420" s="99"/>
      <c r="I420" s="23"/>
      <c r="J420" s="23"/>
      <c r="K420" s="64"/>
      <c r="L420" s="64"/>
      <c r="M420" s="18"/>
      <c r="N420" s="64"/>
      <c r="O420" s="18"/>
      <c r="P420" s="18"/>
      <c r="Q420" s="50"/>
      <c r="R420" s="23"/>
      <c r="S420" s="67"/>
      <c r="T420" s="67"/>
      <c r="U420" s="67"/>
      <c r="V420" s="67"/>
      <c r="W420" s="67"/>
      <c r="X420" s="67"/>
      <c r="Y420" s="67"/>
    </row>
    <row r="421" spans="7:25" ht="12.75">
      <c r="G421" s="7"/>
      <c r="H421" s="7"/>
      <c r="I421" s="7"/>
      <c r="J421" s="7"/>
      <c r="K421" s="7"/>
      <c r="L421" s="7"/>
      <c r="M421" s="7"/>
      <c r="N421" s="7"/>
      <c r="O421" s="7"/>
      <c r="P421" s="7"/>
      <c r="Q421" s="7"/>
      <c r="R421" s="7"/>
      <c r="S421" s="7"/>
      <c r="T421" s="7"/>
      <c r="U421" s="7"/>
      <c r="V421" s="7"/>
      <c r="W421" s="7"/>
      <c r="X421" s="7"/>
      <c r="Y421" s="7"/>
    </row>
    <row r="422" spans="7:25" ht="12.75">
      <c r="G422" s="7"/>
      <c r="H422" s="54"/>
      <c r="I422" s="7"/>
      <c r="J422" s="7"/>
      <c r="K422" s="7"/>
      <c r="L422" s="7"/>
      <c r="M422" s="54"/>
      <c r="N422" s="7"/>
      <c r="O422" s="7"/>
      <c r="P422" s="7"/>
      <c r="Q422" s="7"/>
      <c r="R422" s="7"/>
      <c r="S422" s="7"/>
      <c r="T422" s="7"/>
      <c r="U422" s="7"/>
      <c r="V422" s="7"/>
      <c r="W422" s="7"/>
      <c r="X422" s="7"/>
      <c r="Y422" s="7"/>
    </row>
    <row r="423" spans="7:25" ht="12.75">
      <c r="G423" s="7"/>
      <c r="H423" s="37"/>
      <c r="I423" s="18"/>
      <c r="J423" s="18"/>
      <c r="K423" s="64"/>
      <c r="L423" s="64"/>
      <c r="M423" s="37"/>
      <c r="N423" s="64"/>
      <c r="O423" s="7"/>
      <c r="P423" s="100"/>
      <c r="Q423" s="50"/>
      <c r="R423" s="50"/>
      <c r="S423" s="114"/>
      <c r="T423" s="114"/>
      <c r="U423" s="114"/>
      <c r="V423" s="114"/>
      <c r="W423" s="114"/>
      <c r="X423" s="114"/>
      <c r="Y423" s="114"/>
    </row>
    <row r="424" spans="7:25" ht="12.75">
      <c r="G424" s="7"/>
      <c r="H424" s="7"/>
      <c r="I424" s="7"/>
      <c r="J424" s="7"/>
      <c r="K424" s="7"/>
      <c r="L424" s="7"/>
      <c r="M424" s="7"/>
      <c r="N424" s="7"/>
      <c r="O424" s="7"/>
      <c r="P424" s="7"/>
      <c r="Q424" s="7"/>
      <c r="R424" s="7"/>
      <c r="S424" s="7"/>
      <c r="T424" s="7"/>
      <c r="U424" s="7"/>
      <c r="V424" s="7"/>
      <c r="W424" s="7"/>
      <c r="X424" s="7"/>
      <c r="Y424" s="7"/>
    </row>
    <row r="425" spans="7:25" ht="12.75">
      <c r="G425" s="7"/>
      <c r="H425" s="37"/>
      <c r="I425" s="7"/>
      <c r="J425" s="7"/>
      <c r="K425" s="7"/>
      <c r="L425" s="7"/>
      <c r="M425" s="7"/>
      <c r="N425" s="7"/>
      <c r="O425" s="7"/>
      <c r="P425" s="7"/>
      <c r="Q425" s="102"/>
      <c r="R425" s="7"/>
      <c r="S425" s="7"/>
      <c r="T425" s="7"/>
      <c r="U425" s="7"/>
      <c r="V425" s="7"/>
      <c r="W425" s="7"/>
      <c r="X425" s="7"/>
      <c r="Y425" s="7"/>
    </row>
    <row r="426" spans="7:25" ht="12.75">
      <c r="G426" s="7"/>
      <c r="H426" s="7"/>
      <c r="I426" s="7"/>
      <c r="J426" s="7"/>
      <c r="K426" s="7"/>
      <c r="L426" s="7"/>
      <c r="M426" s="7"/>
      <c r="N426" s="7"/>
      <c r="O426" s="7"/>
      <c r="P426" s="7"/>
      <c r="Q426" s="7"/>
      <c r="R426" s="7"/>
      <c r="S426" s="7"/>
      <c r="T426" s="7"/>
      <c r="U426" s="7"/>
      <c r="V426" s="7"/>
      <c r="W426" s="7"/>
      <c r="X426" s="7"/>
      <c r="Y426" s="7"/>
    </row>
    <row r="427" spans="7:25" ht="12.75">
      <c r="G427" s="7"/>
      <c r="H427" s="7"/>
      <c r="I427" s="7"/>
      <c r="J427" s="7"/>
      <c r="K427" s="7"/>
      <c r="L427" s="7"/>
      <c r="M427" s="7"/>
      <c r="N427" s="7"/>
      <c r="O427" s="7"/>
      <c r="P427" s="7"/>
      <c r="Q427" s="7"/>
      <c r="R427" s="7"/>
      <c r="S427" s="7"/>
      <c r="T427" s="7"/>
      <c r="U427" s="7"/>
      <c r="V427" s="7"/>
      <c r="W427" s="7"/>
      <c r="X427" s="7"/>
      <c r="Y427" s="7"/>
    </row>
    <row r="428" spans="7:25" ht="30">
      <c r="G428" s="75"/>
      <c r="H428" s="76"/>
      <c r="I428" s="7"/>
      <c r="J428" s="7"/>
      <c r="K428" s="7"/>
      <c r="L428" s="7"/>
      <c r="M428" s="7"/>
      <c r="N428" s="77"/>
      <c r="O428" s="77"/>
      <c r="P428" s="77"/>
      <c r="Q428" s="7"/>
      <c r="R428" s="7"/>
      <c r="S428" s="7"/>
      <c r="T428" s="7"/>
      <c r="U428" s="7"/>
      <c r="V428" s="7"/>
      <c r="W428" s="7"/>
      <c r="X428" s="7"/>
      <c r="Y428" s="7"/>
    </row>
    <row r="429" spans="7:25" ht="12.75">
      <c r="G429" s="7"/>
      <c r="H429" s="7"/>
      <c r="I429" s="7"/>
      <c r="J429" s="7"/>
      <c r="K429" s="7"/>
      <c r="L429" s="7"/>
      <c r="M429" s="7"/>
      <c r="N429" s="7"/>
      <c r="O429" s="7"/>
      <c r="P429" s="7"/>
      <c r="Q429" s="7"/>
      <c r="R429" s="7"/>
      <c r="S429" s="7"/>
      <c r="T429" s="7"/>
      <c r="U429" s="7"/>
      <c r="V429" s="7"/>
      <c r="W429" s="7"/>
      <c r="X429" s="7"/>
      <c r="Y429" s="7"/>
    </row>
    <row r="430" spans="7:25" ht="18">
      <c r="G430" s="78"/>
      <c r="H430" s="79"/>
      <c r="I430" s="11"/>
      <c r="J430" s="11"/>
      <c r="K430" s="78"/>
      <c r="L430" s="78"/>
      <c r="M430" s="78"/>
      <c r="N430" s="11"/>
      <c r="O430" s="80"/>
      <c r="P430" s="7"/>
      <c r="Q430" s="81"/>
      <c r="R430" s="11"/>
      <c r="S430" s="11"/>
      <c r="T430" s="11"/>
      <c r="U430" s="11"/>
      <c r="V430" s="11"/>
      <c r="W430" s="11"/>
      <c r="X430" s="11"/>
      <c r="Y430" s="11"/>
    </row>
    <row r="431" spans="7:25" ht="12.75">
      <c r="G431" s="104"/>
      <c r="H431" s="104"/>
      <c r="I431" s="104"/>
      <c r="J431" s="104"/>
      <c r="K431" s="104"/>
      <c r="L431" s="104"/>
      <c r="M431" s="105"/>
      <c r="N431" s="106"/>
      <c r="O431" s="7"/>
      <c r="P431" s="107"/>
      <c r="Q431" s="54"/>
      <c r="R431" s="50"/>
      <c r="S431" s="7"/>
      <c r="T431" s="7"/>
      <c r="U431" s="7"/>
      <c r="V431" s="7"/>
      <c r="W431" s="7"/>
      <c r="X431" s="7"/>
      <c r="Y431" s="7"/>
    </row>
    <row r="432" spans="7:25" ht="12.75">
      <c r="G432" s="110"/>
      <c r="H432" s="7"/>
      <c r="I432" s="107"/>
      <c r="J432" s="107"/>
      <c r="K432" s="7"/>
      <c r="L432" s="7"/>
      <c r="M432" s="112"/>
      <c r="N432" s="113"/>
      <c r="O432" s="112"/>
      <c r="P432" s="113"/>
      <c r="Q432" s="109"/>
      <c r="R432" s="50"/>
      <c r="S432" s="7"/>
      <c r="T432" s="7"/>
      <c r="U432" s="7"/>
      <c r="V432" s="7"/>
      <c r="W432" s="7"/>
      <c r="X432" s="7"/>
      <c r="Y432" s="7"/>
    </row>
    <row r="433" spans="7:25" ht="12.75">
      <c r="G433" s="110"/>
      <c r="H433" s="107"/>
      <c r="I433" s="18"/>
      <c r="J433" s="18"/>
      <c r="K433" s="37"/>
      <c r="L433" s="37"/>
      <c r="M433" s="37"/>
      <c r="N433" s="50"/>
      <c r="O433" s="7"/>
      <c r="P433" s="54"/>
      <c r="Q433" s="64"/>
      <c r="R433" s="110"/>
      <c r="S433" s="7"/>
      <c r="T433" s="7"/>
      <c r="U433" s="7"/>
      <c r="V433" s="7"/>
      <c r="W433" s="7"/>
      <c r="X433" s="7"/>
      <c r="Y433" s="7"/>
    </row>
    <row r="434" spans="7:25" ht="12.75">
      <c r="G434" s="37"/>
      <c r="H434" s="37"/>
      <c r="I434" s="50"/>
      <c r="J434" s="50"/>
      <c r="K434" s="107"/>
      <c r="L434" s="107"/>
      <c r="M434" s="37"/>
      <c r="N434" s="50"/>
      <c r="O434" s="7"/>
      <c r="P434" s="107"/>
      <c r="Q434" s="37"/>
      <c r="R434" s="111"/>
      <c r="S434" s="7"/>
      <c r="T434" s="7"/>
      <c r="U434" s="7"/>
      <c r="V434" s="7"/>
      <c r="W434" s="7"/>
      <c r="X434" s="7"/>
      <c r="Y434" s="7"/>
    </row>
    <row r="435" spans="7:25" ht="12.75">
      <c r="G435" s="7"/>
      <c r="H435" s="54"/>
      <c r="I435" s="50"/>
      <c r="J435" s="50"/>
      <c r="K435" s="37"/>
      <c r="L435" s="37"/>
      <c r="M435" s="37"/>
      <c r="N435" s="62"/>
      <c r="O435" s="7"/>
      <c r="P435" s="37"/>
      <c r="Q435" s="7"/>
      <c r="R435" s="7"/>
      <c r="S435" s="7"/>
      <c r="T435" s="7"/>
      <c r="U435" s="7"/>
      <c r="V435" s="7"/>
      <c r="W435" s="7"/>
      <c r="X435" s="7"/>
      <c r="Y435" s="7"/>
    </row>
    <row r="436" spans="7:25" ht="12.75">
      <c r="G436" s="7"/>
      <c r="H436" s="7"/>
      <c r="I436" s="7"/>
      <c r="J436" s="7"/>
      <c r="K436" s="7"/>
      <c r="L436" s="7"/>
      <c r="M436" s="7"/>
      <c r="N436" s="7"/>
      <c r="O436" s="7"/>
      <c r="P436" s="7"/>
      <c r="Q436" s="7"/>
      <c r="R436" s="7"/>
      <c r="S436" s="7"/>
      <c r="T436" s="7"/>
      <c r="U436" s="7"/>
      <c r="V436" s="7"/>
      <c r="W436" s="7"/>
      <c r="X436" s="7"/>
      <c r="Y436" s="7"/>
    </row>
    <row r="437" spans="7:25" ht="12.75">
      <c r="G437" s="7"/>
      <c r="H437" s="112"/>
      <c r="I437" s="96"/>
      <c r="J437" s="96"/>
      <c r="K437" s="23"/>
      <c r="L437" s="23"/>
      <c r="M437" s="23"/>
      <c r="N437" s="23"/>
      <c r="O437" s="23"/>
      <c r="P437" s="23"/>
      <c r="Q437" s="23"/>
      <c r="R437" s="50"/>
      <c r="S437" s="7"/>
      <c r="T437" s="7"/>
      <c r="U437" s="7"/>
      <c r="V437" s="7"/>
      <c r="W437" s="7"/>
      <c r="X437" s="7"/>
      <c r="Y437" s="7"/>
    </row>
    <row r="438" spans="7:25" ht="12.75">
      <c r="G438" s="54"/>
      <c r="H438" s="112"/>
      <c r="I438" s="96"/>
      <c r="J438" s="96"/>
      <c r="K438" s="23"/>
      <c r="L438" s="23"/>
      <c r="M438" s="23"/>
      <c r="N438" s="23"/>
      <c r="O438" s="23"/>
      <c r="P438" s="23"/>
      <c r="Q438" s="23"/>
      <c r="R438" s="23"/>
      <c r="S438" s="50"/>
      <c r="T438" s="50"/>
      <c r="U438" s="50"/>
      <c r="V438" s="50"/>
      <c r="W438" s="50"/>
      <c r="X438" s="50"/>
      <c r="Y438" s="50"/>
    </row>
    <row r="439" spans="7:25" ht="12.75">
      <c r="G439" s="7"/>
      <c r="H439" s="95"/>
      <c r="I439" s="96"/>
      <c r="J439" s="96"/>
      <c r="K439" s="64"/>
      <c r="L439" s="64"/>
      <c r="M439" s="64"/>
      <c r="N439" s="64"/>
      <c r="O439" s="64"/>
      <c r="P439" s="64"/>
      <c r="Q439" s="64"/>
      <c r="R439" s="64"/>
      <c r="S439" s="7"/>
      <c r="T439" s="7"/>
      <c r="U439" s="7"/>
      <c r="V439" s="7"/>
      <c r="W439" s="7"/>
      <c r="X439" s="7"/>
      <c r="Y439" s="7"/>
    </row>
    <row r="440" spans="7:25" ht="12.75">
      <c r="G440" s="7"/>
      <c r="H440" s="95"/>
      <c r="I440" s="96"/>
      <c r="J440" s="96"/>
      <c r="K440" s="18"/>
      <c r="L440" s="18"/>
      <c r="M440" s="18"/>
      <c r="N440" s="18"/>
      <c r="O440" s="18"/>
      <c r="P440" s="18"/>
      <c r="Q440" s="18"/>
      <c r="R440" s="18"/>
      <c r="S440" s="7"/>
      <c r="T440" s="7"/>
      <c r="U440" s="7"/>
      <c r="V440" s="7"/>
      <c r="W440" s="7"/>
      <c r="X440" s="7"/>
      <c r="Y440" s="7"/>
    </row>
    <row r="441" spans="7:25" ht="12.75">
      <c r="G441" s="7"/>
      <c r="H441" s="7"/>
      <c r="I441" s="7"/>
      <c r="J441" s="7"/>
      <c r="K441" s="7"/>
      <c r="L441" s="7"/>
      <c r="M441" s="7"/>
      <c r="N441" s="7"/>
      <c r="O441" s="7"/>
      <c r="P441" s="7"/>
      <c r="Q441" s="7"/>
      <c r="R441" s="7"/>
      <c r="S441" s="7"/>
      <c r="T441" s="7"/>
      <c r="U441" s="7"/>
      <c r="V441" s="7"/>
      <c r="W441" s="7"/>
      <c r="X441" s="7"/>
      <c r="Y441" s="7"/>
    </row>
    <row r="442" spans="7:25" ht="12.75">
      <c r="G442" s="7"/>
      <c r="H442" s="7"/>
      <c r="I442" s="54"/>
      <c r="J442" s="54"/>
      <c r="K442" s="7"/>
      <c r="L442" s="7"/>
      <c r="M442" s="54"/>
      <c r="N442" s="54"/>
      <c r="O442" s="54"/>
      <c r="P442" s="54"/>
      <c r="Q442" s="54"/>
      <c r="R442" s="54"/>
      <c r="S442" s="54"/>
      <c r="T442" s="54"/>
      <c r="U442" s="54"/>
      <c r="V442" s="54"/>
      <c r="W442" s="54"/>
      <c r="X442" s="54"/>
      <c r="Y442" s="54"/>
    </row>
    <row r="443" spans="7:25" ht="12.75">
      <c r="G443" s="54"/>
      <c r="H443" s="54"/>
      <c r="I443" s="54"/>
      <c r="J443" s="54"/>
      <c r="K443" s="37"/>
      <c r="L443" s="37"/>
      <c r="M443" s="54"/>
      <c r="N443" s="54"/>
      <c r="O443" s="54"/>
      <c r="P443" s="54"/>
      <c r="Q443" s="37"/>
      <c r="R443" s="58"/>
      <c r="S443" s="58"/>
      <c r="T443" s="58"/>
      <c r="U443" s="58"/>
      <c r="V443" s="58"/>
      <c r="W443" s="58"/>
      <c r="X443" s="58"/>
      <c r="Y443" s="58"/>
    </row>
    <row r="444" spans="7:25" ht="12.75">
      <c r="G444" s="7"/>
      <c r="H444" s="7"/>
      <c r="I444" s="7"/>
      <c r="J444" s="7"/>
      <c r="K444" s="7"/>
      <c r="L444" s="7"/>
      <c r="M444" s="50"/>
      <c r="N444" s="50"/>
      <c r="O444" s="97"/>
      <c r="P444" s="7"/>
      <c r="Q444" s="7"/>
      <c r="R444" s="23"/>
      <c r="S444" s="63"/>
      <c r="T444" s="63"/>
      <c r="U444" s="63"/>
      <c r="V444" s="63"/>
      <c r="W444" s="63"/>
      <c r="X444" s="63"/>
      <c r="Y444" s="63"/>
    </row>
    <row r="445" spans="7:25" ht="12.75">
      <c r="G445" s="50"/>
      <c r="H445" s="50"/>
      <c r="I445" s="23"/>
      <c r="J445" s="23"/>
      <c r="K445" s="64"/>
      <c r="L445" s="64"/>
      <c r="M445" s="64"/>
      <c r="N445" s="64"/>
      <c r="O445" s="98"/>
      <c r="P445" s="18"/>
      <c r="Q445" s="50"/>
      <c r="R445" s="23"/>
      <c r="S445" s="67"/>
      <c r="T445" s="67"/>
      <c r="U445" s="67"/>
      <c r="V445" s="67"/>
      <c r="W445" s="67"/>
      <c r="X445" s="67"/>
      <c r="Y445" s="67"/>
    </row>
    <row r="446" spans="7:25" ht="12.75">
      <c r="G446" s="50"/>
      <c r="H446" s="50"/>
      <c r="I446" s="23"/>
      <c r="J446" s="23"/>
      <c r="K446" s="64"/>
      <c r="L446" s="64"/>
      <c r="M446" s="50"/>
      <c r="N446" s="64"/>
      <c r="O446" s="7"/>
      <c r="P446" s="18"/>
      <c r="Q446" s="50"/>
      <c r="R446" s="23"/>
      <c r="S446" s="67"/>
      <c r="T446" s="67"/>
      <c r="U446" s="67"/>
      <c r="V446" s="67"/>
      <c r="W446" s="67"/>
      <c r="X446" s="67"/>
      <c r="Y446" s="67"/>
    </row>
    <row r="447" spans="7:25" ht="12.75">
      <c r="G447" s="54"/>
      <c r="H447" s="99"/>
      <c r="I447" s="23"/>
      <c r="J447" s="23"/>
      <c r="K447" s="64"/>
      <c r="L447" s="64"/>
      <c r="M447" s="18"/>
      <c r="N447" s="64"/>
      <c r="O447" s="7"/>
      <c r="P447" s="18"/>
      <c r="Q447" s="50"/>
      <c r="R447" s="23"/>
      <c r="S447" s="67"/>
      <c r="T447" s="67"/>
      <c r="U447" s="67"/>
      <c r="V447" s="67"/>
      <c r="W447" s="67"/>
      <c r="X447" s="67"/>
      <c r="Y447" s="67"/>
    </row>
    <row r="448" spans="7:25" ht="12.75">
      <c r="G448" s="54"/>
      <c r="H448" s="54"/>
      <c r="I448" s="23"/>
      <c r="J448" s="23"/>
      <c r="K448" s="64"/>
      <c r="L448" s="64"/>
      <c r="M448" s="18"/>
      <c r="N448" s="64"/>
      <c r="O448" s="7"/>
      <c r="P448" s="18"/>
      <c r="Q448" s="50"/>
      <c r="R448" s="23"/>
      <c r="S448" s="67"/>
      <c r="T448" s="67"/>
      <c r="U448" s="67"/>
      <c r="V448" s="67"/>
      <c r="W448" s="67"/>
      <c r="X448" s="67"/>
      <c r="Y448" s="67"/>
    </row>
    <row r="449" spans="7:25" ht="12.75">
      <c r="G449" s="50"/>
      <c r="H449" s="50"/>
      <c r="I449" s="23"/>
      <c r="J449" s="23"/>
      <c r="K449" s="64"/>
      <c r="L449" s="64"/>
      <c r="M449" s="64"/>
      <c r="N449" s="64"/>
      <c r="O449" s="98"/>
      <c r="P449" s="18"/>
      <c r="Q449" s="50"/>
      <c r="R449" s="23"/>
      <c r="S449" s="67"/>
      <c r="T449" s="67"/>
      <c r="U449" s="67"/>
      <c r="V449" s="67"/>
      <c r="W449" s="67"/>
      <c r="X449" s="67"/>
      <c r="Y449" s="67"/>
    </row>
    <row r="450" spans="7:25" ht="12.75">
      <c r="G450" s="50"/>
      <c r="H450" s="50"/>
      <c r="I450" s="23"/>
      <c r="J450" s="23"/>
      <c r="K450" s="64"/>
      <c r="L450" s="64"/>
      <c r="M450" s="50"/>
      <c r="N450" s="64"/>
      <c r="O450" s="7"/>
      <c r="P450" s="18"/>
      <c r="Q450" s="18"/>
      <c r="R450" s="23"/>
      <c r="S450" s="67"/>
      <c r="T450" s="67"/>
      <c r="U450" s="67"/>
      <c r="V450" s="67"/>
      <c r="W450" s="67"/>
      <c r="X450" s="67"/>
      <c r="Y450" s="67"/>
    </row>
    <row r="451" spans="7:25" ht="12.75">
      <c r="G451" s="99"/>
      <c r="H451" s="99"/>
      <c r="I451" s="23"/>
      <c r="J451" s="23"/>
      <c r="K451" s="64"/>
      <c r="L451" s="64"/>
      <c r="M451" s="18"/>
      <c r="N451" s="64"/>
      <c r="O451" s="97"/>
      <c r="P451" s="18"/>
      <c r="Q451" s="50"/>
      <c r="R451" s="23"/>
      <c r="S451" s="67"/>
      <c r="T451" s="67"/>
      <c r="U451" s="67"/>
      <c r="V451" s="67"/>
      <c r="W451" s="67"/>
      <c r="X451" s="67"/>
      <c r="Y451" s="67"/>
    </row>
    <row r="452" spans="7:25" ht="12.75">
      <c r="G452" s="50"/>
      <c r="H452" s="54"/>
      <c r="I452" s="23"/>
      <c r="J452" s="23"/>
      <c r="K452" s="64"/>
      <c r="L452" s="64"/>
      <c r="M452" s="18"/>
      <c r="N452" s="64"/>
      <c r="O452" s="7"/>
      <c r="P452" s="18"/>
      <c r="Q452" s="50"/>
      <c r="R452" s="23"/>
      <c r="S452" s="67"/>
      <c r="T452" s="67"/>
      <c r="U452" s="67"/>
      <c r="V452" s="67"/>
      <c r="W452" s="67"/>
      <c r="X452" s="67"/>
      <c r="Y452" s="67"/>
    </row>
    <row r="453" spans="7:25" ht="12.75">
      <c r="G453" s="50"/>
      <c r="H453" s="50"/>
      <c r="I453" s="23"/>
      <c r="J453" s="23"/>
      <c r="K453" s="64"/>
      <c r="L453" s="64"/>
      <c r="M453" s="64"/>
      <c r="N453" s="64"/>
      <c r="O453" s="98"/>
      <c r="P453" s="18"/>
      <c r="Q453" s="50"/>
      <c r="R453" s="23"/>
      <c r="S453" s="67"/>
      <c r="T453" s="67"/>
      <c r="U453" s="67"/>
      <c r="V453" s="67"/>
      <c r="W453" s="67"/>
      <c r="X453" s="67"/>
      <c r="Y453" s="67"/>
    </row>
    <row r="454" spans="7:25" ht="12.75">
      <c r="G454" s="50"/>
      <c r="H454" s="50"/>
      <c r="I454" s="23"/>
      <c r="J454" s="23"/>
      <c r="K454" s="64"/>
      <c r="L454" s="64"/>
      <c r="M454" s="50"/>
      <c r="N454" s="64"/>
      <c r="O454" s="7"/>
      <c r="P454" s="18"/>
      <c r="Q454" s="50"/>
      <c r="R454" s="23"/>
      <c r="S454" s="67"/>
      <c r="T454" s="67"/>
      <c r="U454" s="67"/>
      <c r="V454" s="67"/>
      <c r="W454" s="67"/>
      <c r="X454" s="67"/>
      <c r="Y454" s="67"/>
    </row>
    <row r="455" spans="7:25" ht="12.75">
      <c r="G455" s="99"/>
      <c r="H455" s="99"/>
      <c r="I455" s="23"/>
      <c r="J455" s="23"/>
      <c r="K455" s="64"/>
      <c r="L455" s="64"/>
      <c r="M455" s="18"/>
      <c r="N455" s="64"/>
      <c r="O455" s="7"/>
      <c r="P455" s="18"/>
      <c r="Q455" s="50"/>
      <c r="R455" s="23"/>
      <c r="S455" s="67"/>
      <c r="T455" s="67"/>
      <c r="U455" s="67"/>
      <c r="V455" s="67"/>
      <c r="W455" s="67"/>
      <c r="X455" s="67"/>
      <c r="Y455" s="67"/>
    </row>
    <row r="456" spans="7:25" ht="12.75">
      <c r="G456" s="50"/>
      <c r="H456" s="54"/>
      <c r="I456" s="23"/>
      <c r="J456" s="23"/>
      <c r="K456" s="64"/>
      <c r="L456" s="64"/>
      <c r="M456" s="18"/>
      <c r="N456" s="64"/>
      <c r="O456" s="7"/>
      <c r="P456" s="18"/>
      <c r="Q456" s="50"/>
      <c r="R456" s="23"/>
      <c r="S456" s="67"/>
      <c r="T456" s="67"/>
      <c r="U456" s="67"/>
      <c r="V456" s="67"/>
      <c r="W456" s="67"/>
      <c r="X456" s="67"/>
      <c r="Y456" s="67"/>
    </row>
    <row r="457" spans="7:25" ht="12.75">
      <c r="G457" s="50"/>
      <c r="H457" s="50"/>
      <c r="I457" s="23"/>
      <c r="J457" s="23"/>
      <c r="K457" s="64"/>
      <c r="L457" s="64"/>
      <c r="M457" s="64"/>
      <c r="N457" s="64"/>
      <c r="O457" s="98"/>
      <c r="P457" s="18"/>
      <c r="Q457" s="50"/>
      <c r="R457" s="23"/>
      <c r="S457" s="67"/>
      <c r="T457" s="67"/>
      <c r="U457" s="67"/>
      <c r="V457" s="67"/>
      <c r="W457" s="67"/>
      <c r="X457" s="67"/>
      <c r="Y457" s="67"/>
    </row>
    <row r="458" spans="7:25" ht="12.75">
      <c r="G458" s="50"/>
      <c r="H458" s="50"/>
      <c r="I458" s="23"/>
      <c r="J458" s="23"/>
      <c r="K458" s="64"/>
      <c r="L458" s="64"/>
      <c r="M458" s="50"/>
      <c r="N458" s="64"/>
      <c r="O458" s="7"/>
      <c r="P458" s="18"/>
      <c r="Q458" s="50"/>
      <c r="R458" s="23"/>
      <c r="S458" s="67"/>
      <c r="T458" s="67"/>
      <c r="U458" s="67"/>
      <c r="V458" s="67"/>
      <c r="W458" s="67"/>
      <c r="X458" s="67"/>
      <c r="Y458" s="67"/>
    </row>
    <row r="459" spans="7:25" ht="12.75">
      <c r="G459" s="99"/>
      <c r="H459" s="99"/>
      <c r="I459" s="23"/>
      <c r="J459" s="23"/>
      <c r="K459" s="64"/>
      <c r="L459" s="64"/>
      <c r="M459" s="18"/>
      <c r="N459" s="64"/>
      <c r="O459" s="97"/>
      <c r="P459" s="18"/>
      <c r="Q459" s="50"/>
      <c r="R459" s="23"/>
      <c r="S459" s="67"/>
      <c r="T459" s="67"/>
      <c r="U459" s="67"/>
      <c r="V459" s="67"/>
      <c r="W459" s="67"/>
      <c r="X459" s="67"/>
      <c r="Y459" s="67"/>
    </row>
    <row r="460" spans="7:25" ht="12.75">
      <c r="G460" s="50"/>
      <c r="H460" s="7"/>
      <c r="I460" s="23"/>
      <c r="J460" s="23"/>
      <c r="K460" s="7"/>
      <c r="L460" s="7"/>
      <c r="M460" s="18"/>
      <c r="N460" s="64"/>
      <c r="O460" s="7"/>
      <c r="P460" s="18"/>
      <c r="Q460" s="50"/>
      <c r="R460" s="23"/>
      <c r="S460" s="67"/>
      <c r="T460" s="67"/>
      <c r="U460" s="67"/>
      <c r="V460" s="67"/>
      <c r="W460" s="67"/>
      <c r="X460" s="67"/>
      <c r="Y460" s="67"/>
    </row>
    <row r="461" spans="7:25" ht="12.75">
      <c r="G461" s="50"/>
      <c r="H461" s="50"/>
      <c r="I461" s="23"/>
      <c r="J461" s="23"/>
      <c r="K461" s="64"/>
      <c r="L461" s="64"/>
      <c r="M461" s="64"/>
      <c r="N461" s="64"/>
      <c r="O461" s="98"/>
      <c r="P461" s="18"/>
      <c r="Q461" s="50"/>
      <c r="R461" s="23"/>
      <c r="S461" s="67"/>
      <c r="T461" s="67"/>
      <c r="U461" s="67"/>
      <c r="V461" s="67"/>
      <c r="W461" s="67"/>
      <c r="X461" s="67"/>
      <c r="Y461" s="67"/>
    </row>
    <row r="462" spans="7:25" ht="12.75">
      <c r="G462" s="50"/>
      <c r="H462" s="50"/>
      <c r="I462" s="23"/>
      <c r="J462" s="23"/>
      <c r="K462" s="64"/>
      <c r="L462" s="64"/>
      <c r="M462" s="50"/>
      <c r="N462" s="64"/>
      <c r="O462" s="7"/>
      <c r="P462" s="18"/>
      <c r="Q462" s="50"/>
      <c r="R462" s="23"/>
      <c r="S462" s="67"/>
      <c r="T462" s="67"/>
      <c r="U462" s="67"/>
      <c r="V462" s="67"/>
      <c r="W462" s="67"/>
      <c r="X462" s="67"/>
      <c r="Y462" s="67"/>
    </row>
    <row r="463" spans="7:25" ht="12.75">
      <c r="G463" s="99"/>
      <c r="H463" s="99"/>
      <c r="I463" s="23"/>
      <c r="J463" s="23"/>
      <c r="K463" s="64"/>
      <c r="L463" s="64"/>
      <c r="M463" s="18"/>
      <c r="N463" s="64"/>
      <c r="O463" s="7"/>
      <c r="P463" s="18"/>
      <c r="Q463" s="50"/>
      <c r="R463" s="23"/>
      <c r="S463" s="67"/>
      <c r="T463" s="67"/>
      <c r="U463" s="67"/>
      <c r="V463" s="67"/>
      <c r="W463" s="67"/>
      <c r="X463" s="67"/>
      <c r="Y463" s="67"/>
    </row>
    <row r="464" spans="7:25" ht="12.75">
      <c r="G464" s="50"/>
      <c r="H464" s="54"/>
      <c r="I464" s="23"/>
      <c r="J464" s="23"/>
      <c r="K464" s="64"/>
      <c r="L464" s="64"/>
      <c r="M464" s="18"/>
      <c r="N464" s="64"/>
      <c r="O464" s="7"/>
      <c r="P464" s="18"/>
      <c r="Q464" s="50"/>
      <c r="R464" s="23"/>
      <c r="S464" s="67"/>
      <c r="T464" s="67"/>
      <c r="U464" s="67"/>
      <c r="V464" s="67"/>
      <c r="W464" s="67"/>
      <c r="X464" s="67"/>
      <c r="Y464" s="67"/>
    </row>
    <row r="465" spans="7:25" ht="12.75">
      <c r="G465" s="50"/>
      <c r="H465" s="50"/>
      <c r="I465" s="23"/>
      <c r="J465" s="23"/>
      <c r="K465" s="64"/>
      <c r="L465" s="64"/>
      <c r="M465" s="64"/>
      <c r="N465" s="64"/>
      <c r="O465" s="98"/>
      <c r="P465" s="18"/>
      <c r="Q465" s="50"/>
      <c r="R465" s="23"/>
      <c r="S465" s="67"/>
      <c r="T465" s="67"/>
      <c r="U465" s="67"/>
      <c r="V465" s="67"/>
      <c r="W465" s="67"/>
      <c r="X465" s="67"/>
      <c r="Y465" s="67"/>
    </row>
    <row r="466" spans="7:25" ht="12.75">
      <c r="G466" s="50"/>
      <c r="H466" s="50"/>
      <c r="I466" s="23"/>
      <c r="J466" s="23"/>
      <c r="K466" s="64"/>
      <c r="L466" s="64"/>
      <c r="M466" s="50"/>
      <c r="N466" s="64"/>
      <c r="O466" s="7"/>
      <c r="P466" s="18"/>
      <c r="Q466" s="50"/>
      <c r="R466" s="23"/>
      <c r="S466" s="67"/>
      <c r="T466" s="67"/>
      <c r="U466" s="67"/>
      <c r="V466" s="67"/>
      <c r="W466" s="67"/>
      <c r="X466" s="67"/>
      <c r="Y466" s="67"/>
    </row>
    <row r="467" spans="7:25" ht="12.75">
      <c r="G467" s="99"/>
      <c r="H467" s="99"/>
      <c r="I467" s="23"/>
      <c r="J467" s="23"/>
      <c r="K467" s="64"/>
      <c r="L467" s="64"/>
      <c r="M467" s="18"/>
      <c r="N467" s="64"/>
      <c r="O467" s="7"/>
      <c r="P467" s="18"/>
      <c r="Q467" s="50"/>
      <c r="R467" s="23"/>
      <c r="S467" s="67"/>
      <c r="T467" s="67"/>
      <c r="U467" s="67"/>
      <c r="V467" s="67"/>
      <c r="W467" s="67"/>
      <c r="X467" s="67"/>
      <c r="Y467" s="67"/>
    </row>
    <row r="468" spans="7:25" ht="12.75">
      <c r="G468" s="50"/>
      <c r="H468" s="54"/>
      <c r="I468" s="23"/>
      <c r="J468" s="23"/>
      <c r="K468" s="64"/>
      <c r="L468" s="64"/>
      <c r="M468" s="18"/>
      <c r="N468" s="64"/>
      <c r="O468" s="50"/>
      <c r="P468" s="18"/>
      <c r="Q468" s="50"/>
      <c r="R468" s="23"/>
      <c r="S468" s="67"/>
      <c r="T468" s="67"/>
      <c r="U468" s="67"/>
      <c r="V468" s="67"/>
      <c r="W468" s="67"/>
      <c r="X468" s="67"/>
      <c r="Y468" s="67"/>
    </row>
    <row r="469" spans="7:25" ht="12.75">
      <c r="G469" s="50"/>
      <c r="H469" s="50"/>
      <c r="I469" s="23"/>
      <c r="J469" s="23"/>
      <c r="K469" s="64"/>
      <c r="L469" s="64"/>
      <c r="M469" s="64"/>
      <c r="N469" s="64"/>
      <c r="O469" s="98"/>
      <c r="P469" s="18"/>
      <c r="Q469" s="50"/>
      <c r="R469" s="23"/>
      <c r="S469" s="67"/>
      <c r="T469" s="67"/>
      <c r="U469" s="67"/>
      <c r="V469" s="67"/>
      <c r="W469" s="67"/>
      <c r="X469" s="67"/>
      <c r="Y469" s="67"/>
    </row>
    <row r="470" spans="7:25" ht="12.75">
      <c r="G470" s="50"/>
      <c r="H470" s="50"/>
      <c r="I470" s="23"/>
      <c r="J470" s="23"/>
      <c r="K470" s="64"/>
      <c r="L470" s="64"/>
      <c r="M470" s="50"/>
      <c r="N470" s="64"/>
      <c r="O470" s="7"/>
      <c r="P470" s="18"/>
      <c r="Q470" s="50"/>
      <c r="R470" s="23"/>
      <c r="S470" s="67"/>
      <c r="T470" s="67"/>
      <c r="U470" s="67"/>
      <c r="V470" s="67"/>
      <c r="W470" s="67"/>
      <c r="X470" s="67"/>
      <c r="Y470" s="67"/>
    </row>
    <row r="471" spans="7:25" ht="12.75">
      <c r="G471" s="99"/>
      <c r="H471" s="99"/>
      <c r="I471" s="23"/>
      <c r="J471" s="23"/>
      <c r="K471" s="64"/>
      <c r="L471" s="64"/>
      <c r="M471" s="18"/>
      <c r="N471" s="64"/>
      <c r="O471" s="18"/>
      <c r="P471" s="18"/>
      <c r="Q471" s="50"/>
      <c r="R471" s="23"/>
      <c r="S471" s="67"/>
      <c r="T471" s="67"/>
      <c r="U471" s="67"/>
      <c r="V471" s="67"/>
      <c r="W471" s="67"/>
      <c r="X471" s="67"/>
      <c r="Y471" s="67"/>
    </row>
    <row r="472" spans="7:25" ht="12.75">
      <c r="G472" s="7"/>
      <c r="H472" s="7"/>
      <c r="I472" s="7"/>
      <c r="J472" s="7"/>
      <c r="K472" s="7"/>
      <c r="L472" s="7"/>
      <c r="M472" s="7"/>
      <c r="N472" s="7"/>
      <c r="O472" s="7"/>
      <c r="P472" s="7"/>
      <c r="Q472" s="7"/>
      <c r="R472" s="7"/>
      <c r="S472" s="7"/>
      <c r="T472" s="7"/>
      <c r="U472" s="7"/>
      <c r="V472" s="7"/>
      <c r="W472" s="7"/>
      <c r="X472" s="7"/>
      <c r="Y472" s="7"/>
    </row>
    <row r="473" spans="7:25" ht="12.75">
      <c r="G473" s="7"/>
      <c r="H473" s="54"/>
      <c r="I473" s="7"/>
      <c r="J473" s="7"/>
      <c r="K473" s="7"/>
      <c r="L473" s="7"/>
      <c r="M473" s="54"/>
      <c r="N473" s="7"/>
      <c r="O473" s="7"/>
      <c r="P473" s="7"/>
      <c r="Q473" s="7"/>
      <c r="R473" s="7"/>
      <c r="S473" s="7"/>
      <c r="T473" s="7"/>
      <c r="U473" s="7"/>
      <c r="V473" s="7"/>
      <c r="W473" s="7"/>
      <c r="X473" s="7"/>
      <c r="Y473" s="7"/>
    </row>
    <row r="474" spans="7:25" ht="12.75">
      <c r="G474" s="7"/>
      <c r="H474" s="37"/>
      <c r="I474" s="18"/>
      <c r="J474" s="18"/>
      <c r="K474" s="64"/>
      <c r="L474" s="64"/>
      <c r="M474" s="37"/>
      <c r="N474" s="64"/>
      <c r="O474" s="7"/>
      <c r="P474" s="100"/>
      <c r="Q474" s="50"/>
      <c r="R474" s="50"/>
      <c r="S474" s="114"/>
      <c r="T474" s="114"/>
      <c r="U474" s="114"/>
      <c r="V474" s="114"/>
      <c r="W474" s="114"/>
      <c r="X474" s="114"/>
      <c r="Y474" s="114"/>
    </row>
    <row r="475" spans="7:25" ht="12.75">
      <c r="G475" s="7"/>
      <c r="H475" s="7"/>
      <c r="I475" s="7"/>
      <c r="J475" s="7"/>
      <c r="K475" s="7"/>
      <c r="L475" s="7"/>
      <c r="M475" s="7"/>
      <c r="N475" s="7"/>
      <c r="O475" s="7"/>
      <c r="P475" s="7"/>
      <c r="Q475" s="7"/>
      <c r="R475" s="7"/>
      <c r="S475" s="7"/>
      <c r="T475" s="7"/>
      <c r="U475" s="7"/>
      <c r="V475" s="7"/>
      <c r="W475" s="7"/>
      <c r="X475" s="7"/>
      <c r="Y475" s="7"/>
    </row>
    <row r="476" spans="7:25" ht="12.75">
      <c r="G476" s="7"/>
      <c r="H476" s="7"/>
      <c r="I476" s="7"/>
      <c r="J476" s="7"/>
      <c r="K476" s="7"/>
      <c r="L476" s="7"/>
      <c r="M476" s="7"/>
      <c r="N476" s="7"/>
      <c r="O476" s="7"/>
      <c r="P476" s="7"/>
      <c r="Q476" s="7"/>
      <c r="R476" s="7"/>
      <c r="S476" s="7"/>
      <c r="T476" s="7"/>
      <c r="U476" s="7"/>
      <c r="V476" s="7"/>
      <c r="W476" s="7"/>
      <c r="X476" s="7"/>
      <c r="Y476" s="7"/>
    </row>
    <row r="477" spans="7:25" ht="12.75">
      <c r="G477" s="7"/>
      <c r="H477" s="7"/>
      <c r="I477" s="7"/>
      <c r="J477" s="7"/>
      <c r="K477" s="7"/>
      <c r="L477" s="7"/>
      <c r="M477" s="7"/>
      <c r="N477" s="7"/>
      <c r="O477" s="7"/>
      <c r="P477" s="7"/>
      <c r="Q477" s="7"/>
      <c r="R477" s="7"/>
      <c r="S477" s="7"/>
      <c r="T477" s="7"/>
      <c r="U477" s="7"/>
      <c r="V477" s="7"/>
      <c r="W477" s="7"/>
      <c r="X477" s="7"/>
      <c r="Y477" s="7"/>
    </row>
    <row r="478" spans="7:25" ht="30">
      <c r="G478" s="75"/>
      <c r="H478" s="76"/>
      <c r="I478" s="7"/>
      <c r="J478" s="7"/>
      <c r="K478" s="7"/>
      <c r="L478" s="7"/>
      <c r="M478" s="7"/>
      <c r="N478" s="77"/>
      <c r="O478" s="77"/>
      <c r="P478" s="77"/>
      <c r="Q478" s="7"/>
      <c r="R478" s="7"/>
      <c r="S478" s="7"/>
      <c r="T478" s="7"/>
      <c r="U478" s="7"/>
      <c r="V478" s="7"/>
      <c r="W478" s="7"/>
      <c r="X478" s="7"/>
      <c r="Y478" s="7"/>
    </row>
    <row r="479" spans="7:25" ht="12.75">
      <c r="G479" s="7"/>
      <c r="H479" s="7"/>
      <c r="I479" s="7"/>
      <c r="J479" s="7"/>
      <c r="K479" s="7"/>
      <c r="L479" s="7"/>
      <c r="M479" s="7"/>
      <c r="N479" s="7"/>
      <c r="O479" s="7"/>
      <c r="P479" s="7"/>
      <c r="Q479" s="7"/>
      <c r="R479" s="7"/>
      <c r="S479" s="7"/>
      <c r="T479" s="7"/>
      <c r="U479" s="7"/>
      <c r="V479" s="7"/>
      <c r="W479" s="7"/>
      <c r="X479" s="7"/>
      <c r="Y479" s="7"/>
    </row>
    <row r="480" spans="7:25" ht="18">
      <c r="G480" s="78"/>
      <c r="H480" s="79"/>
      <c r="I480" s="11"/>
      <c r="J480" s="11"/>
      <c r="K480" s="78"/>
      <c r="L480" s="78"/>
      <c r="M480" s="78"/>
      <c r="N480" s="11"/>
      <c r="O480" s="80"/>
      <c r="P480" s="7"/>
      <c r="Q480" s="81"/>
      <c r="R480" s="11"/>
      <c r="S480" s="11"/>
      <c r="T480" s="11"/>
      <c r="U480" s="11"/>
      <c r="V480" s="11"/>
      <c r="W480" s="11"/>
      <c r="X480" s="11"/>
      <c r="Y480" s="11"/>
    </row>
    <row r="481" spans="7:25" ht="12.75">
      <c r="G481" s="104"/>
      <c r="H481" s="104"/>
      <c r="I481" s="104"/>
      <c r="J481" s="104"/>
      <c r="K481" s="104"/>
      <c r="L481" s="104"/>
      <c r="M481" s="105"/>
      <c r="N481" s="106"/>
      <c r="O481" s="7"/>
      <c r="P481" s="107"/>
      <c r="Q481" s="54"/>
      <c r="R481" s="50"/>
      <c r="S481" s="7"/>
      <c r="T481" s="7"/>
      <c r="U481" s="7"/>
      <c r="V481" s="7"/>
      <c r="W481" s="7"/>
      <c r="X481" s="7"/>
      <c r="Y481" s="7"/>
    </row>
    <row r="482" spans="7:25" ht="12.75">
      <c r="G482" s="110"/>
      <c r="H482" s="7"/>
      <c r="I482" s="107"/>
      <c r="J482" s="107"/>
      <c r="K482" s="7"/>
      <c r="L482" s="7"/>
      <c r="M482" s="112"/>
      <c r="N482" s="113"/>
      <c r="O482" s="112"/>
      <c r="P482" s="113"/>
      <c r="Q482" s="109"/>
      <c r="R482" s="50"/>
      <c r="S482" s="7"/>
      <c r="T482" s="7"/>
      <c r="U482" s="7"/>
      <c r="V482" s="7"/>
      <c r="W482" s="7"/>
      <c r="X482" s="7"/>
      <c r="Y482" s="7"/>
    </row>
    <row r="483" spans="7:25" ht="12.75">
      <c r="G483" s="110"/>
      <c r="H483" s="107"/>
      <c r="I483" s="18"/>
      <c r="J483" s="18"/>
      <c r="K483" s="37"/>
      <c r="L483" s="37"/>
      <c r="M483" s="37"/>
      <c r="N483" s="50"/>
      <c r="O483" s="7"/>
      <c r="P483" s="54"/>
      <c r="Q483" s="64"/>
      <c r="R483" s="110"/>
      <c r="S483" s="7"/>
      <c r="T483" s="7"/>
      <c r="U483" s="7"/>
      <c r="V483" s="7"/>
      <c r="W483" s="7"/>
      <c r="X483" s="7"/>
      <c r="Y483" s="7"/>
    </row>
    <row r="484" spans="7:25" ht="12.75">
      <c r="G484" s="37"/>
      <c r="H484" s="37"/>
      <c r="I484" s="50"/>
      <c r="J484" s="50"/>
      <c r="K484" s="107"/>
      <c r="L484" s="107"/>
      <c r="M484" s="37"/>
      <c r="N484" s="50"/>
      <c r="O484" s="7"/>
      <c r="P484" s="107"/>
      <c r="Q484" s="37"/>
      <c r="R484" s="111"/>
      <c r="S484" s="7"/>
      <c r="T484" s="7"/>
      <c r="U484" s="7"/>
      <c r="V484" s="7"/>
      <c r="W484" s="7"/>
      <c r="X484" s="7"/>
      <c r="Y484" s="7"/>
    </row>
    <row r="485" spans="7:25" ht="12.75">
      <c r="G485" s="7"/>
      <c r="H485" s="54"/>
      <c r="I485" s="50"/>
      <c r="J485" s="50"/>
      <c r="K485" s="37"/>
      <c r="L485" s="37"/>
      <c r="M485" s="37"/>
      <c r="N485" s="62"/>
      <c r="O485" s="7"/>
      <c r="P485" s="37"/>
      <c r="Q485" s="7"/>
      <c r="R485" s="7"/>
      <c r="S485" s="7"/>
      <c r="T485" s="7"/>
      <c r="U485" s="7"/>
      <c r="V485" s="7"/>
      <c r="W485" s="7"/>
      <c r="X485" s="7"/>
      <c r="Y485" s="7"/>
    </row>
    <row r="486" spans="7:25" ht="12.75">
      <c r="G486" s="7"/>
      <c r="H486" s="7"/>
      <c r="I486" s="7"/>
      <c r="J486" s="7"/>
      <c r="K486" s="7"/>
      <c r="L486" s="7"/>
      <c r="M486" s="7"/>
      <c r="N486" s="7"/>
      <c r="O486" s="7"/>
      <c r="P486" s="7"/>
      <c r="Q486" s="7"/>
      <c r="R486" s="7"/>
      <c r="S486" s="7"/>
      <c r="T486" s="7"/>
      <c r="U486" s="7"/>
      <c r="V486" s="7"/>
      <c r="W486" s="7"/>
      <c r="X486" s="7"/>
      <c r="Y486" s="7"/>
    </row>
    <row r="487" spans="7:25" ht="12.75">
      <c r="G487" s="7"/>
      <c r="H487" s="112"/>
      <c r="I487" s="96"/>
      <c r="J487" s="96"/>
      <c r="K487" s="23"/>
      <c r="L487" s="23"/>
      <c r="M487" s="23"/>
      <c r="N487" s="23"/>
      <c r="O487" s="23"/>
      <c r="P487" s="23"/>
      <c r="Q487" s="23"/>
      <c r="R487" s="50"/>
      <c r="S487" s="7"/>
      <c r="T487" s="7"/>
      <c r="U487" s="7"/>
      <c r="V487" s="7"/>
      <c r="W487" s="7"/>
      <c r="X487" s="7"/>
      <c r="Y487" s="7"/>
    </row>
    <row r="488" spans="7:25" ht="12.75">
      <c r="G488" s="54"/>
      <c r="H488" s="112"/>
      <c r="I488" s="96"/>
      <c r="J488" s="96"/>
      <c r="K488" s="23"/>
      <c r="L488" s="23"/>
      <c r="M488" s="23"/>
      <c r="N488" s="23"/>
      <c r="O488" s="23"/>
      <c r="P488" s="23"/>
      <c r="Q488" s="23"/>
      <c r="R488" s="23"/>
      <c r="S488" s="50"/>
      <c r="T488" s="50"/>
      <c r="U488" s="50"/>
      <c r="V488" s="50"/>
      <c r="W488" s="50"/>
      <c r="X488" s="50"/>
      <c r="Y488" s="50"/>
    </row>
    <row r="489" spans="7:25" ht="12.75">
      <c r="G489" s="7"/>
      <c r="H489" s="95"/>
      <c r="I489" s="96"/>
      <c r="J489" s="96"/>
      <c r="K489" s="64"/>
      <c r="L489" s="64"/>
      <c r="M489" s="64"/>
      <c r="N489" s="64"/>
      <c r="O489" s="64"/>
      <c r="P489" s="64"/>
      <c r="Q489" s="64"/>
      <c r="R489" s="64"/>
      <c r="S489" s="7"/>
      <c r="T489" s="7"/>
      <c r="U489" s="7"/>
      <c r="V489" s="7"/>
      <c r="W489" s="7"/>
      <c r="X489" s="7"/>
      <c r="Y489" s="7"/>
    </row>
    <row r="490" spans="7:25" ht="12.75">
      <c r="G490" s="7"/>
      <c r="H490" s="95"/>
      <c r="I490" s="96"/>
      <c r="J490" s="96"/>
      <c r="K490" s="18"/>
      <c r="L490" s="18"/>
      <c r="M490" s="18"/>
      <c r="N490" s="18"/>
      <c r="O490" s="18"/>
      <c r="P490" s="18"/>
      <c r="Q490" s="18"/>
      <c r="R490" s="18"/>
      <c r="S490" s="7"/>
      <c r="T490" s="7"/>
      <c r="U490" s="7"/>
      <c r="V490" s="7"/>
      <c r="W490" s="7"/>
      <c r="X490" s="7"/>
      <c r="Y490" s="7"/>
    </row>
    <row r="491" spans="7:25" ht="12.75">
      <c r="G491" s="7"/>
      <c r="H491" s="7"/>
      <c r="I491" s="7"/>
      <c r="J491" s="7"/>
      <c r="K491" s="7"/>
      <c r="L491" s="7"/>
      <c r="M491" s="7"/>
      <c r="N491" s="7"/>
      <c r="O491" s="7"/>
      <c r="P491" s="7"/>
      <c r="Q491" s="7"/>
      <c r="R491" s="7"/>
      <c r="S491" s="7"/>
      <c r="T491" s="7"/>
      <c r="U491" s="7"/>
      <c r="V491" s="7"/>
      <c r="W491" s="7"/>
      <c r="X491" s="7"/>
      <c r="Y491" s="7"/>
    </row>
    <row r="492" spans="7:25" ht="12.75">
      <c r="G492" s="7"/>
      <c r="H492" s="7"/>
      <c r="I492" s="54"/>
      <c r="J492" s="54"/>
      <c r="K492" s="7"/>
      <c r="L492" s="7"/>
      <c r="M492" s="54"/>
      <c r="N492" s="54"/>
      <c r="O492" s="54"/>
      <c r="P492" s="54"/>
      <c r="Q492" s="54"/>
      <c r="R492" s="54"/>
      <c r="S492" s="54"/>
      <c r="T492" s="54"/>
      <c r="U492" s="54"/>
      <c r="V492" s="54"/>
      <c r="W492" s="54"/>
      <c r="X492" s="54"/>
      <c r="Y492" s="54"/>
    </row>
    <row r="493" spans="7:25" ht="12.75">
      <c r="G493" s="54"/>
      <c r="H493" s="54"/>
      <c r="I493" s="54"/>
      <c r="J493" s="54"/>
      <c r="K493" s="37"/>
      <c r="L493" s="37"/>
      <c r="M493" s="54"/>
      <c r="N493" s="54"/>
      <c r="O493" s="54"/>
      <c r="P493" s="54"/>
      <c r="Q493" s="37"/>
      <c r="R493" s="58"/>
      <c r="S493" s="58"/>
      <c r="T493" s="58"/>
      <c r="U493" s="58"/>
      <c r="V493" s="58"/>
      <c r="W493" s="58"/>
      <c r="X493" s="58"/>
      <c r="Y493" s="58"/>
    </row>
    <row r="494" spans="7:25" ht="12.75">
      <c r="G494" s="7"/>
      <c r="H494" s="7"/>
      <c r="I494" s="7"/>
      <c r="J494" s="7"/>
      <c r="K494" s="7"/>
      <c r="L494" s="7"/>
      <c r="M494" s="50"/>
      <c r="N494" s="50"/>
      <c r="O494" s="97"/>
      <c r="P494" s="7"/>
      <c r="Q494" s="7"/>
      <c r="R494" s="23"/>
      <c r="S494" s="63"/>
      <c r="T494" s="63"/>
      <c r="U494" s="63"/>
      <c r="V494" s="63"/>
      <c r="W494" s="63"/>
      <c r="X494" s="63"/>
      <c r="Y494" s="63"/>
    </row>
    <row r="495" spans="7:25" ht="12.75">
      <c r="G495" s="50"/>
      <c r="H495" s="50"/>
      <c r="I495" s="23"/>
      <c r="J495" s="23"/>
      <c r="K495" s="64"/>
      <c r="L495" s="64"/>
      <c r="M495" s="64"/>
      <c r="N495" s="64"/>
      <c r="O495" s="98"/>
      <c r="P495" s="18"/>
      <c r="Q495" s="50"/>
      <c r="R495" s="23"/>
      <c r="S495" s="67"/>
      <c r="T495" s="67"/>
      <c r="U495" s="67"/>
      <c r="V495" s="67"/>
      <c r="W495" s="67"/>
      <c r="X495" s="67"/>
      <c r="Y495" s="67"/>
    </row>
    <row r="496" spans="7:25" ht="12.75">
      <c r="G496" s="50"/>
      <c r="H496" s="50"/>
      <c r="I496" s="23"/>
      <c r="J496" s="23"/>
      <c r="K496" s="64"/>
      <c r="L496" s="64"/>
      <c r="M496" s="50"/>
      <c r="N496" s="64"/>
      <c r="O496" s="7"/>
      <c r="P496" s="18"/>
      <c r="Q496" s="50"/>
      <c r="R496" s="23"/>
      <c r="S496" s="67"/>
      <c r="T496" s="67"/>
      <c r="U496" s="67"/>
      <c r="V496" s="67"/>
      <c r="W496" s="67"/>
      <c r="X496" s="67"/>
      <c r="Y496" s="67"/>
    </row>
    <row r="497" spans="7:25" ht="12.75">
      <c r="G497" s="54"/>
      <c r="H497" s="99"/>
      <c r="I497" s="23"/>
      <c r="J497" s="23"/>
      <c r="K497" s="64"/>
      <c r="L497" s="64"/>
      <c r="M497" s="18"/>
      <c r="N497" s="64"/>
      <c r="O497" s="7"/>
      <c r="P497" s="18"/>
      <c r="Q497" s="50"/>
      <c r="R497" s="23"/>
      <c r="S497" s="67"/>
      <c r="T497" s="67"/>
      <c r="U497" s="67"/>
      <c r="V497" s="67"/>
      <c r="W497" s="67"/>
      <c r="X497" s="67"/>
      <c r="Y497" s="67"/>
    </row>
    <row r="498" spans="7:25" ht="12.75">
      <c r="G498" s="54"/>
      <c r="H498" s="54"/>
      <c r="I498" s="23"/>
      <c r="J498" s="23"/>
      <c r="K498" s="64"/>
      <c r="L498" s="64"/>
      <c r="M498" s="18"/>
      <c r="N498" s="64"/>
      <c r="O498" s="7"/>
      <c r="P498" s="18"/>
      <c r="Q498" s="50"/>
      <c r="R498" s="23"/>
      <c r="S498" s="67"/>
      <c r="T498" s="67"/>
      <c r="U498" s="67"/>
      <c r="V498" s="67"/>
      <c r="W498" s="67"/>
      <c r="X498" s="67"/>
      <c r="Y498" s="67"/>
    </row>
    <row r="499" spans="7:25" ht="12.75">
      <c r="G499" s="50"/>
      <c r="H499" s="50"/>
      <c r="I499" s="23"/>
      <c r="J499" s="23"/>
      <c r="K499" s="64"/>
      <c r="L499" s="64"/>
      <c r="M499" s="64"/>
      <c r="N499" s="64"/>
      <c r="O499" s="98"/>
      <c r="P499" s="18"/>
      <c r="Q499" s="50"/>
      <c r="R499" s="23"/>
      <c r="S499" s="67"/>
      <c r="T499" s="67"/>
      <c r="U499" s="67"/>
      <c r="V499" s="67"/>
      <c r="W499" s="67"/>
      <c r="X499" s="67"/>
      <c r="Y499" s="67"/>
    </row>
    <row r="500" spans="7:25" ht="12.75">
      <c r="G500" s="50"/>
      <c r="H500" s="50"/>
      <c r="I500" s="23"/>
      <c r="J500" s="23"/>
      <c r="K500" s="64"/>
      <c r="L500" s="64"/>
      <c r="M500" s="50"/>
      <c r="N500" s="64"/>
      <c r="O500" s="7"/>
      <c r="P500" s="18"/>
      <c r="Q500" s="18"/>
      <c r="R500" s="23"/>
      <c r="S500" s="67"/>
      <c r="T500" s="67"/>
      <c r="U500" s="67"/>
      <c r="V500" s="67"/>
      <c r="W500" s="67"/>
      <c r="X500" s="67"/>
      <c r="Y500" s="67"/>
    </row>
    <row r="501" spans="7:25" ht="12.75">
      <c r="G501" s="99"/>
      <c r="H501" s="99"/>
      <c r="I501" s="23"/>
      <c r="J501" s="23"/>
      <c r="K501" s="64"/>
      <c r="L501" s="64"/>
      <c r="M501" s="18"/>
      <c r="N501" s="64"/>
      <c r="O501" s="97"/>
      <c r="P501" s="18"/>
      <c r="Q501" s="50"/>
      <c r="R501" s="23"/>
      <c r="S501" s="67"/>
      <c r="T501" s="67"/>
      <c r="U501" s="67"/>
      <c r="V501" s="67"/>
      <c r="W501" s="67"/>
      <c r="X501" s="67"/>
      <c r="Y501" s="67"/>
    </row>
    <row r="502" spans="7:25" ht="12.75">
      <c r="G502" s="50"/>
      <c r="H502" s="54"/>
      <c r="I502" s="23"/>
      <c r="J502" s="23"/>
      <c r="K502" s="64"/>
      <c r="L502" s="64"/>
      <c r="M502" s="18"/>
      <c r="N502" s="64"/>
      <c r="O502" s="7"/>
      <c r="P502" s="18"/>
      <c r="Q502" s="50"/>
      <c r="R502" s="23"/>
      <c r="S502" s="67"/>
      <c r="T502" s="67"/>
      <c r="U502" s="67"/>
      <c r="V502" s="67"/>
      <c r="W502" s="67"/>
      <c r="X502" s="67"/>
      <c r="Y502" s="67"/>
    </row>
    <row r="503" spans="7:25" ht="12.75">
      <c r="G503" s="50"/>
      <c r="H503" s="50"/>
      <c r="I503" s="23"/>
      <c r="J503" s="23"/>
      <c r="K503" s="64"/>
      <c r="L503" s="64"/>
      <c r="M503" s="64"/>
      <c r="N503" s="64"/>
      <c r="O503" s="98"/>
      <c r="P503" s="18"/>
      <c r="Q503" s="50"/>
      <c r="R503" s="23"/>
      <c r="S503" s="67"/>
      <c r="T503" s="67"/>
      <c r="U503" s="67"/>
      <c r="V503" s="67"/>
      <c r="W503" s="67"/>
      <c r="X503" s="67"/>
      <c r="Y503" s="67"/>
    </row>
    <row r="504" spans="7:25" ht="12.75">
      <c r="G504" s="50"/>
      <c r="H504" s="50"/>
      <c r="I504" s="23"/>
      <c r="J504" s="23"/>
      <c r="K504" s="64"/>
      <c r="L504" s="64"/>
      <c r="M504" s="50"/>
      <c r="N504" s="64"/>
      <c r="O504" s="7"/>
      <c r="P504" s="18"/>
      <c r="Q504" s="50"/>
      <c r="R504" s="23"/>
      <c r="S504" s="67"/>
      <c r="T504" s="67"/>
      <c r="U504" s="67"/>
      <c r="V504" s="67"/>
      <c r="W504" s="67"/>
      <c r="X504" s="67"/>
      <c r="Y504" s="67"/>
    </row>
    <row r="505" spans="7:25" ht="12.75">
      <c r="G505" s="99"/>
      <c r="H505" s="99"/>
      <c r="I505" s="23"/>
      <c r="J505" s="23"/>
      <c r="K505" s="64"/>
      <c r="L505" s="64"/>
      <c r="M505" s="18"/>
      <c r="N505" s="64"/>
      <c r="O505" s="7"/>
      <c r="P505" s="18"/>
      <c r="Q505" s="50"/>
      <c r="R505" s="23"/>
      <c r="S505" s="67"/>
      <c r="T505" s="67"/>
      <c r="U505" s="67"/>
      <c r="V505" s="67"/>
      <c r="W505" s="67"/>
      <c r="X505" s="67"/>
      <c r="Y505" s="67"/>
    </row>
    <row r="506" spans="7:25" ht="12.75">
      <c r="G506" s="50"/>
      <c r="H506" s="54"/>
      <c r="I506" s="23"/>
      <c r="J506" s="23"/>
      <c r="K506" s="64"/>
      <c r="L506" s="64"/>
      <c r="M506" s="18"/>
      <c r="N506" s="64"/>
      <c r="O506" s="7"/>
      <c r="P506" s="18"/>
      <c r="Q506" s="50"/>
      <c r="R506" s="23"/>
      <c r="S506" s="67"/>
      <c r="T506" s="67"/>
      <c r="U506" s="67"/>
      <c r="V506" s="67"/>
      <c r="W506" s="67"/>
      <c r="X506" s="67"/>
      <c r="Y506" s="67"/>
    </row>
    <row r="507" spans="7:25" ht="12.75">
      <c r="G507" s="50"/>
      <c r="H507" s="50"/>
      <c r="I507" s="23"/>
      <c r="J507" s="23"/>
      <c r="K507" s="64"/>
      <c r="L507" s="64"/>
      <c r="M507" s="64"/>
      <c r="N507" s="64"/>
      <c r="O507" s="98"/>
      <c r="P507" s="18"/>
      <c r="Q507" s="50"/>
      <c r="R507" s="23"/>
      <c r="S507" s="67"/>
      <c r="T507" s="67"/>
      <c r="U507" s="67"/>
      <c r="V507" s="67"/>
      <c r="W507" s="67"/>
      <c r="X507" s="67"/>
      <c r="Y507" s="67"/>
    </row>
    <row r="508" spans="7:25" ht="12.75">
      <c r="G508" s="50"/>
      <c r="H508" s="50"/>
      <c r="I508" s="23"/>
      <c r="J508" s="23"/>
      <c r="K508" s="64"/>
      <c r="L508" s="64"/>
      <c r="M508" s="50"/>
      <c r="N508" s="64"/>
      <c r="O508" s="7"/>
      <c r="P508" s="18"/>
      <c r="Q508" s="50"/>
      <c r="R508" s="23"/>
      <c r="S508" s="67"/>
      <c r="T508" s="67"/>
      <c r="U508" s="67"/>
      <c r="V508" s="67"/>
      <c r="W508" s="67"/>
      <c r="X508" s="67"/>
      <c r="Y508" s="67"/>
    </row>
    <row r="509" spans="7:25" ht="12.75">
      <c r="G509" s="99"/>
      <c r="H509" s="99"/>
      <c r="I509" s="23"/>
      <c r="J509" s="23"/>
      <c r="K509" s="64"/>
      <c r="L509" s="64"/>
      <c r="M509" s="18"/>
      <c r="N509" s="64"/>
      <c r="O509" s="97"/>
      <c r="P509" s="18"/>
      <c r="Q509" s="50"/>
      <c r="R509" s="23"/>
      <c r="S509" s="67"/>
      <c r="T509" s="67"/>
      <c r="U509" s="67"/>
      <c r="V509" s="67"/>
      <c r="W509" s="67"/>
      <c r="X509" s="67"/>
      <c r="Y509" s="67"/>
    </row>
    <row r="510" spans="7:25" ht="12.75">
      <c r="G510" s="50"/>
      <c r="H510" s="7"/>
      <c r="I510" s="23"/>
      <c r="J510" s="23"/>
      <c r="K510" s="7"/>
      <c r="L510" s="7"/>
      <c r="M510" s="18"/>
      <c r="N510" s="64"/>
      <c r="O510" s="7"/>
      <c r="P510" s="18"/>
      <c r="Q510" s="50"/>
      <c r="R510" s="23"/>
      <c r="S510" s="67"/>
      <c r="T510" s="67"/>
      <c r="U510" s="67"/>
      <c r="V510" s="67"/>
      <c r="W510" s="67"/>
      <c r="X510" s="67"/>
      <c r="Y510" s="67"/>
    </row>
    <row r="511" spans="7:25" ht="12.75">
      <c r="G511" s="50"/>
      <c r="H511" s="50"/>
      <c r="I511" s="23"/>
      <c r="J511" s="23"/>
      <c r="K511" s="64"/>
      <c r="L511" s="64"/>
      <c r="M511" s="64"/>
      <c r="N511" s="64"/>
      <c r="O511" s="98"/>
      <c r="P511" s="18"/>
      <c r="Q511" s="50"/>
      <c r="R511" s="23"/>
      <c r="S511" s="67"/>
      <c r="T511" s="67"/>
      <c r="U511" s="67"/>
      <c r="V511" s="67"/>
      <c r="W511" s="67"/>
      <c r="X511" s="67"/>
      <c r="Y511" s="67"/>
    </row>
    <row r="512" spans="7:25" ht="12.75">
      <c r="G512" s="50"/>
      <c r="H512" s="50"/>
      <c r="I512" s="23"/>
      <c r="J512" s="23"/>
      <c r="K512" s="64"/>
      <c r="L512" s="64"/>
      <c r="M512" s="50"/>
      <c r="N512" s="64"/>
      <c r="O512" s="7"/>
      <c r="P512" s="18"/>
      <c r="Q512" s="50"/>
      <c r="R512" s="23"/>
      <c r="S512" s="67"/>
      <c r="T512" s="67"/>
      <c r="U512" s="67"/>
      <c r="V512" s="67"/>
      <c r="W512" s="67"/>
      <c r="X512" s="67"/>
      <c r="Y512" s="67"/>
    </row>
    <row r="513" spans="7:25" ht="12.75">
      <c r="G513" s="99"/>
      <c r="H513" s="99"/>
      <c r="I513" s="23"/>
      <c r="J513" s="23"/>
      <c r="K513" s="64"/>
      <c r="L513" s="64"/>
      <c r="M513" s="18"/>
      <c r="N513" s="64"/>
      <c r="O513" s="7"/>
      <c r="P513" s="18"/>
      <c r="Q513" s="50"/>
      <c r="R513" s="23"/>
      <c r="S513" s="67"/>
      <c r="T513" s="67"/>
      <c r="U513" s="67"/>
      <c r="V513" s="67"/>
      <c r="W513" s="67"/>
      <c r="X513" s="67"/>
      <c r="Y513" s="67"/>
    </row>
    <row r="514" spans="7:25" ht="12.75">
      <c r="G514" s="50"/>
      <c r="H514" s="54"/>
      <c r="I514" s="23"/>
      <c r="J514" s="23"/>
      <c r="K514" s="64"/>
      <c r="L514" s="64"/>
      <c r="M514" s="18"/>
      <c r="N514" s="64"/>
      <c r="O514" s="7"/>
      <c r="P514" s="18"/>
      <c r="Q514" s="50"/>
      <c r="R514" s="23"/>
      <c r="S514" s="67"/>
      <c r="T514" s="67"/>
      <c r="U514" s="67"/>
      <c r="V514" s="67"/>
      <c r="W514" s="67"/>
      <c r="X514" s="67"/>
      <c r="Y514" s="67"/>
    </row>
    <row r="515" spans="7:25" ht="12.75">
      <c r="G515" s="50"/>
      <c r="H515" s="50"/>
      <c r="I515" s="23"/>
      <c r="J515" s="23"/>
      <c r="K515" s="64"/>
      <c r="L515" s="64"/>
      <c r="M515" s="64"/>
      <c r="N515" s="64"/>
      <c r="O515" s="98"/>
      <c r="P515" s="18"/>
      <c r="Q515" s="50"/>
      <c r="R515" s="23"/>
      <c r="S515" s="67"/>
      <c r="T515" s="67"/>
      <c r="U515" s="67"/>
      <c r="V515" s="67"/>
      <c r="W515" s="67"/>
      <c r="X515" s="67"/>
      <c r="Y515" s="67"/>
    </row>
    <row r="516" spans="7:25" ht="12.75">
      <c r="G516" s="50"/>
      <c r="H516" s="50"/>
      <c r="I516" s="23"/>
      <c r="J516" s="23"/>
      <c r="K516" s="64"/>
      <c r="L516" s="64"/>
      <c r="M516" s="50"/>
      <c r="N516" s="64"/>
      <c r="O516" s="7"/>
      <c r="P516" s="18"/>
      <c r="Q516" s="50"/>
      <c r="R516" s="23"/>
      <c r="S516" s="67"/>
      <c r="T516" s="67"/>
      <c r="U516" s="67"/>
      <c r="V516" s="67"/>
      <c r="W516" s="67"/>
      <c r="X516" s="67"/>
      <c r="Y516" s="67"/>
    </row>
    <row r="517" spans="7:25" ht="12.75">
      <c r="G517" s="99"/>
      <c r="H517" s="99"/>
      <c r="I517" s="23"/>
      <c r="J517" s="23"/>
      <c r="K517" s="64"/>
      <c r="L517" s="64"/>
      <c r="M517" s="18"/>
      <c r="N517" s="64"/>
      <c r="O517" s="7"/>
      <c r="P517" s="18"/>
      <c r="Q517" s="50"/>
      <c r="R517" s="23"/>
      <c r="S517" s="67"/>
      <c r="T517" s="67"/>
      <c r="U517" s="67"/>
      <c r="V517" s="67"/>
      <c r="W517" s="67"/>
      <c r="X517" s="67"/>
      <c r="Y517" s="67"/>
    </row>
    <row r="518" spans="7:25" ht="12.75">
      <c r="G518" s="50"/>
      <c r="H518" s="54"/>
      <c r="I518" s="23"/>
      <c r="J518" s="23"/>
      <c r="K518" s="64"/>
      <c r="L518" s="64"/>
      <c r="M518" s="18"/>
      <c r="N518" s="64"/>
      <c r="O518" s="50"/>
      <c r="P518" s="18"/>
      <c r="Q518" s="50"/>
      <c r="R518" s="23"/>
      <c r="S518" s="67"/>
      <c r="T518" s="67"/>
      <c r="U518" s="67"/>
      <c r="V518" s="67"/>
      <c r="W518" s="67"/>
      <c r="X518" s="67"/>
      <c r="Y518" s="67"/>
    </row>
    <row r="519" spans="7:25" ht="12.75">
      <c r="G519" s="50"/>
      <c r="H519" s="50"/>
      <c r="I519" s="23"/>
      <c r="J519" s="23"/>
      <c r="K519" s="64"/>
      <c r="L519" s="64"/>
      <c r="M519" s="64"/>
      <c r="N519" s="64"/>
      <c r="O519" s="98"/>
      <c r="P519" s="18"/>
      <c r="Q519" s="50"/>
      <c r="R519" s="23"/>
      <c r="S519" s="67"/>
      <c r="T519" s="67"/>
      <c r="U519" s="67"/>
      <c r="V519" s="67"/>
      <c r="W519" s="67"/>
      <c r="X519" s="67"/>
      <c r="Y519" s="67"/>
    </row>
    <row r="520" spans="7:25" ht="12.75">
      <c r="G520" s="50"/>
      <c r="H520" s="50"/>
      <c r="I520" s="23"/>
      <c r="J520" s="23"/>
      <c r="K520" s="64"/>
      <c r="L520" s="64"/>
      <c r="M520" s="50"/>
      <c r="N520" s="64"/>
      <c r="O520" s="7"/>
      <c r="P520" s="18"/>
      <c r="Q520" s="50"/>
      <c r="R520" s="23"/>
      <c r="S520" s="67"/>
      <c r="T520" s="67"/>
      <c r="U520" s="67"/>
      <c r="V520" s="67"/>
      <c r="W520" s="67"/>
      <c r="X520" s="67"/>
      <c r="Y520" s="67"/>
    </row>
    <row r="521" spans="7:25" ht="12.75">
      <c r="G521" s="99"/>
      <c r="H521" s="99"/>
      <c r="I521" s="23"/>
      <c r="J521" s="23"/>
      <c r="K521" s="64"/>
      <c r="L521" s="64"/>
      <c r="M521" s="18"/>
      <c r="N521" s="64"/>
      <c r="O521" s="18"/>
      <c r="P521" s="18"/>
      <c r="Q521" s="50"/>
      <c r="R521" s="23"/>
      <c r="S521" s="67"/>
      <c r="T521" s="67"/>
      <c r="U521" s="67"/>
      <c r="V521" s="67"/>
      <c r="W521" s="67"/>
      <c r="X521" s="67"/>
      <c r="Y521" s="67"/>
    </row>
    <row r="522" spans="7:25" ht="12.75">
      <c r="G522" s="7"/>
      <c r="H522" s="7"/>
      <c r="I522" s="7"/>
      <c r="J522" s="7"/>
      <c r="K522" s="7"/>
      <c r="L522" s="7"/>
      <c r="M522" s="7"/>
      <c r="N522" s="7"/>
      <c r="O522" s="7"/>
      <c r="P522" s="7"/>
      <c r="Q522" s="7"/>
      <c r="R522" s="7"/>
      <c r="S522" s="7"/>
      <c r="T522" s="7"/>
      <c r="U522" s="7"/>
      <c r="V522" s="7"/>
      <c r="W522" s="7"/>
      <c r="X522" s="7"/>
      <c r="Y522" s="7"/>
    </row>
    <row r="523" spans="7:25" ht="12.75">
      <c r="G523" s="7"/>
      <c r="H523" s="54"/>
      <c r="I523" s="7"/>
      <c r="J523" s="7"/>
      <c r="K523" s="7"/>
      <c r="L523" s="7"/>
      <c r="M523" s="54"/>
      <c r="N523" s="7"/>
      <c r="O523" s="7"/>
      <c r="P523" s="7"/>
      <c r="Q523" s="7"/>
      <c r="R523" s="7"/>
      <c r="S523" s="7"/>
      <c r="T523" s="7"/>
      <c r="U523" s="7"/>
      <c r="V523" s="7"/>
      <c r="W523" s="7"/>
      <c r="X523" s="7"/>
      <c r="Y523" s="7"/>
    </row>
    <row r="524" spans="7:25" ht="12.75">
      <c r="G524" s="7"/>
      <c r="H524" s="37"/>
      <c r="I524" s="18"/>
      <c r="J524" s="18"/>
      <c r="K524" s="64"/>
      <c r="L524" s="64"/>
      <c r="M524" s="37"/>
      <c r="N524" s="64"/>
      <c r="O524" s="7"/>
      <c r="P524" s="100"/>
      <c r="Q524" s="50"/>
      <c r="R524" s="50"/>
      <c r="S524" s="114"/>
      <c r="T524" s="114"/>
      <c r="U524" s="114"/>
      <c r="V524" s="114"/>
      <c r="W524" s="114"/>
      <c r="X524" s="114"/>
      <c r="Y524" s="114"/>
    </row>
    <row r="525" spans="7:25" ht="12.75">
      <c r="G525" s="7"/>
      <c r="H525" s="7"/>
      <c r="I525" s="7"/>
      <c r="J525" s="7"/>
      <c r="K525" s="7"/>
      <c r="L525" s="7"/>
      <c r="M525" s="102"/>
      <c r="N525" s="102"/>
      <c r="O525" s="102"/>
      <c r="P525" s="102"/>
      <c r="Q525" s="102"/>
      <c r="R525" s="102"/>
      <c r="S525" s="7"/>
      <c r="T525" s="7"/>
      <c r="U525" s="7"/>
      <c r="V525" s="7"/>
      <c r="W525" s="7"/>
      <c r="X525" s="7"/>
      <c r="Y525" s="7"/>
    </row>
    <row r="526" spans="7:25" ht="12.75">
      <c r="G526" s="7"/>
      <c r="H526" s="7"/>
      <c r="I526" s="7"/>
      <c r="J526" s="7"/>
      <c r="K526" s="7"/>
      <c r="L526" s="7"/>
      <c r="M526" s="7"/>
      <c r="N526" s="7"/>
      <c r="O526" s="7"/>
      <c r="P526" s="7"/>
      <c r="Q526" s="7"/>
      <c r="R526" s="7"/>
      <c r="S526" s="7"/>
      <c r="T526" s="7"/>
      <c r="U526" s="7"/>
      <c r="V526" s="7"/>
      <c r="W526" s="7"/>
      <c r="X526" s="7"/>
      <c r="Y526" s="7"/>
    </row>
    <row r="527" spans="7:25" ht="30">
      <c r="G527" s="75"/>
      <c r="H527" s="76"/>
      <c r="I527" s="7"/>
      <c r="J527" s="7"/>
      <c r="K527" s="7"/>
      <c r="L527" s="7"/>
      <c r="M527" s="7"/>
      <c r="N527" s="77"/>
      <c r="O527" s="77"/>
      <c r="P527" s="77"/>
      <c r="Q527" s="7"/>
      <c r="R527" s="7"/>
      <c r="S527" s="7"/>
      <c r="T527" s="7"/>
      <c r="U527" s="7"/>
      <c r="V527" s="7"/>
      <c r="W527" s="7"/>
      <c r="X527" s="7"/>
      <c r="Y527" s="7"/>
    </row>
    <row r="528" spans="7:25" ht="12.75">
      <c r="G528" s="7"/>
      <c r="H528" s="7"/>
      <c r="I528" s="7"/>
      <c r="J528" s="7"/>
      <c r="K528" s="7"/>
      <c r="L528" s="7"/>
      <c r="M528" s="7"/>
      <c r="N528" s="7"/>
      <c r="O528" s="7"/>
      <c r="P528" s="7"/>
      <c r="Q528" s="7"/>
      <c r="R528" s="7"/>
      <c r="S528" s="7"/>
      <c r="T528" s="7"/>
      <c r="U528" s="7"/>
      <c r="V528" s="7"/>
      <c r="W528" s="7"/>
      <c r="X528" s="7"/>
      <c r="Y528" s="7"/>
    </row>
    <row r="529" spans="7:25" ht="18">
      <c r="G529" s="78"/>
      <c r="H529" s="79"/>
      <c r="I529" s="11"/>
      <c r="J529" s="11"/>
      <c r="K529" s="78"/>
      <c r="L529" s="78"/>
      <c r="M529" s="78"/>
      <c r="N529" s="11"/>
      <c r="O529" s="80"/>
      <c r="P529" s="7"/>
      <c r="Q529" s="81"/>
      <c r="R529" s="11"/>
      <c r="S529" s="11"/>
      <c r="T529" s="11"/>
      <c r="U529" s="11"/>
      <c r="V529" s="11"/>
      <c r="W529" s="11"/>
      <c r="X529" s="11"/>
      <c r="Y529" s="11"/>
    </row>
    <row r="530" spans="7:25" ht="12.75">
      <c r="G530" s="104"/>
      <c r="H530" s="104"/>
      <c r="I530" s="104"/>
      <c r="J530" s="104"/>
      <c r="K530" s="104"/>
      <c r="L530" s="104"/>
      <c r="M530" s="105"/>
      <c r="N530" s="106"/>
      <c r="O530" s="7"/>
      <c r="P530" s="107"/>
      <c r="Q530" s="54"/>
      <c r="R530" s="50"/>
      <c r="S530" s="7"/>
      <c r="T530" s="7"/>
      <c r="U530" s="7"/>
      <c r="V530" s="7"/>
      <c r="W530" s="7"/>
      <c r="X530" s="7"/>
      <c r="Y530" s="7"/>
    </row>
    <row r="531" spans="7:25" ht="12.75">
      <c r="G531" s="110"/>
      <c r="H531" s="7"/>
      <c r="I531" s="107"/>
      <c r="J531" s="107"/>
      <c r="K531" s="7"/>
      <c r="L531" s="7"/>
      <c r="M531" s="112"/>
      <c r="N531" s="113"/>
      <c r="O531" s="112"/>
      <c r="P531" s="113"/>
      <c r="Q531" s="109"/>
      <c r="R531" s="50"/>
      <c r="S531" s="7"/>
      <c r="T531" s="7"/>
      <c r="U531" s="7"/>
      <c r="V531" s="7"/>
      <c r="W531" s="7"/>
      <c r="X531" s="7"/>
      <c r="Y531" s="7"/>
    </row>
    <row r="532" spans="7:25" ht="12.75">
      <c r="G532" s="110"/>
      <c r="H532" s="107"/>
      <c r="I532" s="18"/>
      <c r="J532" s="18"/>
      <c r="K532" s="37"/>
      <c r="L532" s="37"/>
      <c r="M532" s="37"/>
      <c r="N532" s="50"/>
      <c r="O532" s="7"/>
      <c r="P532" s="54"/>
      <c r="Q532" s="64"/>
      <c r="R532" s="110"/>
      <c r="S532" s="7"/>
      <c r="T532" s="7"/>
      <c r="U532" s="7"/>
      <c r="V532" s="7"/>
      <c r="W532" s="7"/>
      <c r="X532" s="7"/>
      <c r="Y532" s="7"/>
    </row>
    <row r="533" spans="7:25" ht="12.75">
      <c r="G533" s="37"/>
      <c r="H533" s="37"/>
      <c r="I533" s="50"/>
      <c r="J533" s="50"/>
      <c r="K533" s="107"/>
      <c r="L533" s="107"/>
      <c r="M533" s="37"/>
      <c r="N533" s="50"/>
      <c r="O533" s="7"/>
      <c r="P533" s="107"/>
      <c r="Q533" s="37"/>
      <c r="R533" s="111"/>
      <c r="S533" s="7"/>
      <c r="T533" s="7"/>
      <c r="U533" s="7"/>
      <c r="V533" s="7"/>
      <c r="W533" s="7"/>
      <c r="X533" s="7"/>
      <c r="Y533" s="7"/>
    </row>
    <row r="534" spans="7:25" ht="12.75">
      <c r="G534" s="7"/>
      <c r="H534" s="54"/>
      <c r="I534" s="50"/>
      <c r="J534" s="50"/>
      <c r="K534" s="37"/>
      <c r="L534" s="37"/>
      <c r="M534" s="37"/>
      <c r="N534" s="62"/>
      <c r="O534" s="7"/>
      <c r="P534" s="37"/>
      <c r="Q534" s="7"/>
      <c r="R534" s="115"/>
      <c r="S534" s="7"/>
      <c r="T534" s="7"/>
      <c r="U534" s="7"/>
      <c r="V534" s="7"/>
      <c r="W534" s="7"/>
      <c r="X534" s="7"/>
      <c r="Y534" s="7"/>
    </row>
    <row r="535" spans="7:25" ht="12.75">
      <c r="G535" s="7"/>
      <c r="H535" s="7"/>
      <c r="I535" s="7"/>
      <c r="J535" s="7"/>
      <c r="K535" s="7"/>
      <c r="L535" s="7"/>
      <c r="M535" s="7"/>
      <c r="N535" s="7"/>
      <c r="O535" s="7"/>
      <c r="P535" s="7"/>
      <c r="Q535" s="7"/>
      <c r="R535" s="7"/>
      <c r="S535" s="7"/>
      <c r="T535" s="7"/>
      <c r="U535" s="7"/>
      <c r="V535" s="7"/>
      <c r="W535" s="7"/>
      <c r="X535" s="7"/>
      <c r="Y535" s="7"/>
    </row>
    <row r="536" spans="7:25" ht="12.75">
      <c r="G536" s="7"/>
      <c r="H536" s="112"/>
      <c r="I536" s="96"/>
      <c r="J536" s="96"/>
      <c r="K536" s="23"/>
      <c r="L536" s="23"/>
      <c r="M536" s="23"/>
      <c r="N536" s="23"/>
      <c r="O536" s="23"/>
      <c r="P536" s="23"/>
      <c r="Q536" s="23"/>
      <c r="R536" s="50"/>
      <c r="S536" s="7"/>
      <c r="T536" s="7"/>
      <c r="U536" s="7"/>
      <c r="V536" s="7"/>
      <c r="W536" s="7"/>
      <c r="X536" s="7"/>
      <c r="Y536" s="7"/>
    </row>
    <row r="537" spans="7:25" ht="12.75">
      <c r="G537" s="54"/>
      <c r="H537" s="112"/>
      <c r="I537" s="96"/>
      <c r="J537" s="96"/>
      <c r="K537" s="23"/>
      <c r="L537" s="23"/>
      <c r="M537" s="23"/>
      <c r="N537" s="23"/>
      <c r="O537" s="23"/>
      <c r="P537" s="23"/>
      <c r="Q537" s="23"/>
      <c r="R537" s="23"/>
      <c r="S537" s="50"/>
      <c r="T537" s="50"/>
      <c r="U537" s="50"/>
      <c r="V537" s="50"/>
      <c r="W537" s="50"/>
      <c r="X537" s="50"/>
      <c r="Y537" s="50"/>
    </row>
    <row r="538" spans="7:25" ht="12.75">
      <c r="G538" s="7"/>
      <c r="H538" s="95"/>
      <c r="I538" s="96"/>
      <c r="J538" s="96"/>
      <c r="K538" s="64"/>
      <c r="L538" s="64"/>
      <c r="M538" s="64"/>
      <c r="N538" s="64"/>
      <c r="O538" s="64"/>
      <c r="P538" s="64"/>
      <c r="Q538" s="64"/>
      <c r="R538" s="64"/>
      <c r="S538" s="7"/>
      <c r="T538" s="7"/>
      <c r="U538" s="7"/>
      <c r="V538" s="7"/>
      <c r="W538" s="7"/>
      <c r="X538" s="7"/>
      <c r="Y538" s="7"/>
    </row>
    <row r="539" spans="7:25" ht="12.75">
      <c r="G539" s="7"/>
      <c r="H539" s="95"/>
      <c r="I539" s="96"/>
      <c r="J539" s="96"/>
      <c r="K539" s="18"/>
      <c r="L539" s="18"/>
      <c r="M539" s="18"/>
      <c r="N539" s="18"/>
      <c r="O539" s="18"/>
      <c r="P539" s="18"/>
      <c r="Q539" s="18"/>
      <c r="R539" s="18"/>
      <c r="S539" s="7"/>
      <c r="T539" s="7"/>
      <c r="U539" s="7"/>
      <c r="V539" s="7"/>
      <c r="W539" s="7"/>
      <c r="X539" s="7"/>
      <c r="Y539" s="7"/>
    </row>
    <row r="540" spans="7:25" ht="12.75">
      <c r="G540" s="7"/>
      <c r="H540" s="7"/>
      <c r="I540" s="7"/>
      <c r="J540" s="7"/>
      <c r="K540" s="7"/>
      <c r="L540" s="7"/>
      <c r="M540" s="7"/>
      <c r="N540" s="7"/>
      <c r="O540" s="7"/>
      <c r="P540" s="7"/>
      <c r="Q540" s="7"/>
      <c r="R540" s="7"/>
      <c r="S540" s="7"/>
      <c r="T540" s="7"/>
      <c r="U540" s="7"/>
      <c r="V540" s="7"/>
      <c r="W540" s="7"/>
      <c r="X540" s="7"/>
      <c r="Y540" s="7"/>
    </row>
    <row r="541" spans="7:25" ht="12.75">
      <c r="G541" s="7"/>
      <c r="H541" s="7"/>
      <c r="I541" s="54"/>
      <c r="J541" s="54"/>
      <c r="K541" s="7"/>
      <c r="L541" s="7"/>
      <c r="M541" s="54"/>
      <c r="N541" s="54"/>
      <c r="O541" s="54"/>
      <c r="P541" s="54"/>
      <c r="Q541" s="54"/>
      <c r="R541" s="54"/>
      <c r="S541" s="54"/>
      <c r="T541" s="54"/>
      <c r="U541" s="54"/>
      <c r="V541" s="54"/>
      <c r="W541" s="54"/>
      <c r="X541" s="54"/>
      <c r="Y541" s="54"/>
    </row>
    <row r="542" spans="7:25" ht="12.75">
      <c r="G542" s="54"/>
      <c r="H542" s="54"/>
      <c r="I542" s="54"/>
      <c r="J542" s="54"/>
      <c r="K542" s="37"/>
      <c r="L542" s="37"/>
      <c r="M542" s="54"/>
      <c r="N542" s="54"/>
      <c r="O542" s="54"/>
      <c r="P542" s="54"/>
      <c r="Q542" s="37"/>
      <c r="R542" s="58"/>
      <c r="S542" s="58"/>
      <c r="T542" s="58"/>
      <c r="U542" s="58"/>
      <c r="V542" s="58"/>
      <c r="W542" s="58"/>
      <c r="X542" s="58"/>
      <c r="Y542" s="58"/>
    </row>
    <row r="543" spans="7:25" ht="12.75">
      <c r="G543" s="7"/>
      <c r="H543" s="7"/>
      <c r="I543" s="7"/>
      <c r="J543" s="7"/>
      <c r="K543" s="7"/>
      <c r="L543" s="7"/>
      <c r="M543" s="50"/>
      <c r="N543" s="50"/>
      <c r="O543" s="97"/>
      <c r="P543" s="7"/>
      <c r="Q543" s="7"/>
      <c r="R543" s="23"/>
      <c r="S543" s="63"/>
      <c r="T543" s="63"/>
      <c r="U543" s="63"/>
      <c r="V543" s="63"/>
      <c r="W543" s="63"/>
      <c r="X543" s="63"/>
      <c r="Y543" s="63"/>
    </row>
    <row r="544" spans="7:25" ht="12.75">
      <c r="G544" s="50"/>
      <c r="H544" s="50"/>
      <c r="I544" s="23"/>
      <c r="J544" s="23"/>
      <c r="K544" s="64"/>
      <c r="L544" s="64"/>
      <c r="M544" s="64"/>
      <c r="N544" s="64"/>
      <c r="O544" s="98"/>
      <c r="P544" s="18"/>
      <c r="Q544" s="50"/>
      <c r="R544" s="23"/>
      <c r="S544" s="67"/>
      <c r="T544" s="67"/>
      <c r="U544" s="67"/>
      <c r="V544" s="67"/>
      <c r="W544" s="67"/>
      <c r="X544" s="67"/>
      <c r="Y544" s="67"/>
    </row>
    <row r="545" spans="7:25" ht="12.75">
      <c r="G545" s="50"/>
      <c r="H545" s="50"/>
      <c r="I545" s="23"/>
      <c r="J545" s="23"/>
      <c r="K545" s="64"/>
      <c r="L545" s="64"/>
      <c r="M545" s="50"/>
      <c r="N545" s="64"/>
      <c r="O545" s="7"/>
      <c r="P545" s="18"/>
      <c r="Q545" s="50"/>
      <c r="R545" s="23"/>
      <c r="S545" s="67"/>
      <c r="T545" s="67"/>
      <c r="U545" s="67"/>
      <c r="V545" s="67"/>
      <c r="W545" s="67"/>
      <c r="X545" s="67"/>
      <c r="Y545" s="67"/>
    </row>
    <row r="546" spans="7:25" ht="12.75">
      <c r="G546" s="54"/>
      <c r="H546" s="116"/>
      <c r="I546" s="23"/>
      <c r="J546" s="23"/>
      <c r="K546" s="64"/>
      <c r="L546" s="64"/>
      <c r="M546" s="18"/>
      <c r="N546" s="64"/>
      <c r="O546" s="7"/>
      <c r="P546" s="18"/>
      <c r="Q546" s="50"/>
      <c r="R546" s="23"/>
      <c r="S546" s="67"/>
      <c r="T546" s="67"/>
      <c r="U546" s="67"/>
      <c r="V546" s="67"/>
      <c r="W546" s="67"/>
      <c r="X546" s="67"/>
      <c r="Y546" s="67"/>
    </row>
    <row r="547" spans="7:25" ht="12.75">
      <c r="G547" s="54"/>
      <c r="H547" s="54"/>
      <c r="I547" s="23"/>
      <c r="J547" s="23"/>
      <c r="K547" s="64"/>
      <c r="L547" s="64"/>
      <c r="M547" s="18"/>
      <c r="N547" s="64"/>
      <c r="O547" s="7"/>
      <c r="P547" s="18"/>
      <c r="Q547" s="50"/>
      <c r="R547" s="23"/>
      <c r="S547" s="67"/>
      <c r="T547" s="67"/>
      <c r="U547" s="67"/>
      <c r="V547" s="67"/>
      <c r="W547" s="67"/>
      <c r="X547" s="67"/>
      <c r="Y547" s="67"/>
    </row>
    <row r="548" spans="7:25" ht="12.75">
      <c r="G548" s="50"/>
      <c r="H548" s="50"/>
      <c r="I548" s="23"/>
      <c r="J548" s="23"/>
      <c r="K548" s="64"/>
      <c r="L548" s="64"/>
      <c r="M548" s="64"/>
      <c r="N548" s="64"/>
      <c r="O548" s="98"/>
      <c r="P548" s="18"/>
      <c r="Q548" s="50"/>
      <c r="R548" s="23"/>
      <c r="S548" s="67"/>
      <c r="T548" s="67"/>
      <c r="U548" s="67"/>
      <c r="V548" s="67"/>
      <c r="W548" s="67"/>
      <c r="X548" s="67"/>
      <c r="Y548" s="67"/>
    </row>
    <row r="549" spans="7:25" ht="12.75">
      <c r="G549" s="50"/>
      <c r="H549" s="50"/>
      <c r="I549" s="23"/>
      <c r="J549" s="23"/>
      <c r="K549" s="64"/>
      <c r="L549" s="64"/>
      <c r="M549" s="50"/>
      <c r="N549" s="64"/>
      <c r="O549" s="7"/>
      <c r="P549" s="18"/>
      <c r="Q549" s="18"/>
      <c r="R549" s="23"/>
      <c r="S549" s="67"/>
      <c r="T549" s="67"/>
      <c r="U549" s="67"/>
      <c r="V549" s="67"/>
      <c r="W549" s="67"/>
      <c r="X549" s="67"/>
      <c r="Y549" s="67"/>
    </row>
    <row r="550" spans="7:25" ht="12.75">
      <c r="G550" s="99"/>
      <c r="H550" s="116"/>
      <c r="I550" s="23"/>
      <c r="J550" s="23"/>
      <c r="K550" s="64"/>
      <c r="L550" s="64"/>
      <c r="M550" s="18"/>
      <c r="N550" s="64"/>
      <c r="O550" s="97"/>
      <c r="P550" s="18"/>
      <c r="Q550" s="50"/>
      <c r="R550" s="23"/>
      <c r="S550" s="67"/>
      <c r="T550" s="67"/>
      <c r="U550" s="67"/>
      <c r="V550" s="67"/>
      <c r="W550" s="67"/>
      <c r="X550" s="67"/>
      <c r="Y550" s="67"/>
    </row>
    <row r="551" spans="7:25" ht="12.75">
      <c r="G551" s="50"/>
      <c r="H551" s="54"/>
      <c r="I551" s="23"/>
      <c r="J551" s="23"/>
      <c r="K551" s="64"/>
      <c r="L551" s="64"/>
      <c r="M551" s="18"/>
      <c r="N551" s="64"/>
      <c r="O551" s="7"/>
      <c r="P551" s="18"/>
      <c r="Q551" s="50"/>
      <c r="R551" s="23"/>
      <c r="S551" s="67"/>
      <c r="T551" s="67"/>
      <c r="U551" s="67"/>
      <c r="V551" s="67"/>
      <c r="W551" s="67"/>
      <c r="X551" s="67"/>
      <c r="Y551" s="67"/>
    </row>
    <row r="552" spans="7:25" ht="12.75">
      <c r="G552" s="50"/>
      <c r="H552" s="50"/>
      <c r="I552" s="23"/>
      <c r="J552" s="23"/>
      <c r="K552" s="64"/>
      <c r="L552" s="64"/>
      <c r="M552" s="64"/>
      <c r="N552" s="64"/>
      <c r="O552" s="98"/>
      <c r="P552" s="18"/>
      <c r="Q552" s="50"/>
      <c r="R552" s="23"/>
      <c r="S552" s="67"/>
      <c r="T552" s="67"/>
      <c r="U552" s="67"/>
      <c r="V552" s="67"/>
      <c r="W552" s="67"/>
      <c r="X552" s="67"/>
      <c r="Y552" s="67"/>
    </row>
    <row r="553" spans="7:25" ht="12.75">
      <c r="G553" s="50"/>
      <c r="H553" s="50"/>
      <c r="I553" s="23"/>
      <c r="J553" s="23"/>
      <c r="K553" s="64"/>
      <c r="L553" s="64"/>
      <c r="M553" s="50"/>
      <c r="N553" s="64"/>
      <c r="O553" s="7"/>
      <c r="P553" s="18"/>
      <c r="Q553" s="50"/>
      <c r="R553" s="23"/>
      <c r="S553" s="67"/>
      <c r="T553" s="67"/>
      <c r="U553" s="67"/>
      <c r="V553" s="67"/>
      <c r="W553" s="67"/>
      <c r="X553" s="67"/>
      <c r="Y553" s="67"/>
    </row>
    <row r="554" spans="7:25" ht="12.75">
      <c r="G554" s="99"/>
      <c r="H554" s="99"/>
      <c r="I554" s="23"/>
      <c r="J554" s="23"/>
      <c r="K554" s="64"/>
      <c r="L554" s="64"/>
      <c r="M554" s="18"/>
      <c r="N554" s="64"/>
      <c r="O554" s="7"/>
      <c r="P554" s="18"/>
      <c r="Q554" s="50"/>
      <c r="R554" s="23"/>
      <c r="S554" s="67"/>
      <c r="T554" s="67"/>
      <c r="U554" s="67"/>
      <c r="V554" s="67"/>
      <c r="W554" s="67"/>
      <c r="X554" s="67"/>
      <c r="Y554" s="67"/>
    </row>
    <row r="555" spans="7:25" ht="12.75">
      <c r="G555" s="50"/>
      <c r="H555" s="54"/>
      <c r="I555" s="23"/>
      <c r="J555" s="23"/>
      <c r="K555" s="64"/>
      <c r="L555" s="64"/>
      <c r="M555" s="18"/>
      <c r="N555" s="64"/>
      <c r="O555" s="7"/>
      <c r="P555" s="18"/>
      <c r="Q555" s="50"/>
      <c r="R555" s="23"/>
      <c r="S555" s="67"/>
      <c r="T555" s="67"/>
      <c r="U555" s="67"/>
      <c r="V555" s="67"/>
      <c r="W555" s="67"/>
      <c r="X555" s="67"/>
      <c r="Y555" s="67"/>
    </row>
    <row r="556" spans="7:25" ht="12.75">
      <c r="G556" s="50"/>
      <c r="H556" s="50"/>
      <c r="I556" s="23"/>
      <c r="J556" s="23"/>
      <c r="K556" s="64"/>
      <c r="L556" s="64"/>
      <c r="M556" s="64"/>
      <c r="N556" s="64"/>
      <c r="O556" s="98"/>
      <c r="P556" s="18"/>
      <c r="Q556" s="50"/>
      <c r="R556" s="23"/>
      <c r="S556" s="67"/>
      <c r="T556" s="67"/>
      <c r="U556" s="67"/>
      <c r="V556" s="67"/>
      <c r="W556" s="67"/>
      <c r="X556" s="67"/>
      <c r="Y556" s="67"/>
    </row>
    <row r="557" spans="7:25" ht="12.75">
      <c r="G557" s="50"/>
      <c r="H557" s="50"/>
      <c r="I557" s="23"/>
      <c r="J557" s="23"/>
      <c r="K557" s="64"/>
      <c r="L557" s="64"/>
      <c r="M557" s="50"/>
      <c r="N557" s="64"/>
      <c r="O557" s="7"/>
      <c r="P557" s="18"/>
      <c r="Q557" s="50"/>
      <c r="R557" s="23"/>
      <c r="S557" s="67"/>
      <c r="T557" s="67"/>
      <c r="U557" s="67"/>
      <c r="V557" s="67"/>
      <c r="W557" s="67"/>
      <c r="X557" s="67"/>
      <c r="Y557" s="67"/>
    </row>
    <row r="558" spans="7:25" ht="12.75">
      <c r="G558" s="99"/>
      <c r="H558" s="99"/>
      <c r="I558" s="23"/>
      <c r="J558" s="23"/>
      <c r="K558" s="64"/>
      <c r="L558" s="64"/>
      <c r="M558" s="18"/>
      <c r="N558" s="64"/>
      <c r="O558" s="97"/>
      <c r="P558" s="18"/>
      <c r="Q558" s="50"/>
      <c r="R558" s="23"/>
      <c r="S558" s="67"/>
      <c r="T558" s="67"/>
      <c r="U558" s="67"/>
      <c r="V558" s="67"/>
      <c r="W558" s="67"/>
      <c r="X558" s="67"/>
      <c r="Y558" s="67"/>
    </row>
    <row r="559" spans="7:25" ht="12.75">
      <c r="G559" s="50"/>
      <c r="H559" s="7"/>
      <c r="I559" s="23"/>
      <c r="J559" s="23"/>
      <c r="K559" s="7"/>
      <c r="L559" s="7"/>
      <c r="M559" s="18"/>
      <c r="N559" s="64"/>
      <c r="O559" s="7"/>
      <c r="P559" s="18"/>
      <c r="Q559" s="50"/>
      <c r="R559" s="23"/>
      <c r="S559" s="67"/>
      <c r="T559" s="67"/>
      <c r="U559" s="67"/>
      <c r="V559" s="67"/>
      <c r="W559" s="67"/>
      <c r="X559" s="67"/>
      <c r="Y559" s="67"/>
    </row>
    <row r="560" spans="7:25" ht="12.75">
      <c r="G560" s="50"/>
      <c r="H560" s="50"/>
      <c r="I560" s="23"/>
      <c r="J560" s="23"/>
      <c r="K560" s="64"/>
      <c r="L560" s="64"/>
      <c r="M560" s="64"/>
      <c r="N560" s="64"/>
      <c r="O560" s="98"/>
      <c r="P560" s="18"/>
      <c r="Q560" s="50"/>
      <c r="R560" s="23"/>
      <c r="S560" s="67"/>
      <c r="T560" s="67"/>
      <c r="U560" s="67"/>
      <c r="V560" s="67"/>
      <c r="W560" s="67"/>
      <c r="X560" s="67"/>
      <c r="Y560" s="67"/>
    </row>
    <row r="561" spans="7:25" ht="12.75">
      <c r="G561" s="50"/>
      <c r="H561" s="50"/>
      <c r="I561" s="23"/>
      <c r="J561" s="23"/>
      <c r="K561" s="64"/>
      <c r="L561" s="64"/>
      <c r="M561" s="50"/>
      <c r="N561" s="64"/>
      <c r="O561" s="7"/>
      <c r="P561" s="18"/>
      <c r="Q561" s="50"/>
      <c r="R561" s="23"/>
      <c r="S561" s="67"/>
      <c r="T561" s="67"/>
      <c r="U561" s="67"/>
      <c r="V561" s="67"/>
      <c r="W561" s="67"/>
      <c r="X561" s="67"/>
      <c r="Y561" s="67"/>
    </row>
    <row r="562" spans="7:25" ht="12.75">
      <c r="G562" s="99"/>
      <c r="H562" s="99"/>
      <c r="I562" s="23"/>
      <c r="J562" s="23"/>
      <c r="K562" s="64"/>
      <c r="L562" s="64"/>
      <c r="M562" s="18"/>
      <c r="N562" s="64"/>
      <c r="O562" s="7"/>
      <c r="P562" s="18"/>
      <c r="Q562" s="50"/>
      <c r="R562" s="23"/>
      <c r="S562" s="67"/>
      <c r="T562" s="67"/>
      <c r="U562" s="67"/>
      <c r="V562" s="67"/>
      <c r="W562" s="67"/>
      <c r="X562" s="67"/>
      <c r="Y562" s="67"/>
    </row>
    <row r="563" spans="7:25" ht="12.75">
      <c r="G563" s="50"/>
      <c r="H563" s="54"/>
      <c r="I563" s="23"/>
      <c r="J563" s="23"/>
      <c r="K563" s="64"/>
      <c r="L563" s="64"/>
      <c r="M563" s="18"/>
      <c r="N563" s="64"/>
      <c r="O563" s="7"/>
      <c r="P563" s="18"/>
      <c r="Q563" s="50"/>
      <c r="R563" s="23"/>
      <c r="S563" s="67"/>
      <c r="T563" s="67"/>
      <c r="U563" s="67"/>
      <c r="V563" s="67"/>
      <c r="W563" s="67"/>
      <c r="X563" s="67"/>
      <c r="Y563" s="67"/>
    </row>
    <row r="564" spans="7:25" ht="12.75">
      <c r="G564" s="50"/>
      <c r="H564" s="50"/>
      <c r="I564" s="23"/>
      <c r="J564" s="23"/>
      <c r="K564" s="64"/>
      <c r="L564" s="64"/>
      <c r="M564" s="64"/>
      <c r="N564" s="64"/>
      <c r="O564" s="98"/>
      <c r="P564" s="18"/>
      <c r="Q564" s="50"/>
      <c r="R564" s="23"/>
      <c r="S564" s="67"/>
      <c r="T564" s="67"/>
      <c r="U564" s="67"/>
      <c r="V564" s="67"/>
      <c r="W564" s="67"/>
      <c r="X564" s="67"/>
      <c r="Y564" s="67"/>
    </row>
    <row r="565" spans="7:25" ht="12.75">
      <c r="G565" s="50"/>
      <c r="H565" s="50"/>
      <c r="I565" s="23"/>
      <c r="J565" s="23"/>
      <c r="K565" s="64"/>
      <c r="L565" s="64"/>
      <c r="M565" s="50"/>
      <c r="N565" s="64"/>
      <c r="O565" s="7"/>
      <c r="P565" s="18"/>
      <c r="Q565" s="50"/>
      <c r="R565" s="23"/>
      <c r="S565" s="67"/>
      <c r="T565" s="67"/>
      <c r="U565" s="67"/>
      <c r="V565" s="67"/>
      <c r="W565" s="67"/>
      <c r="X565" s="67"/>
      <c r="Y565" s="67"/>
    </row>
    <row r="566" spans="7:25" ht="12.75">
      <c r="G566" s="99"/>
      <c r="H566" s="99"/>
      <c r="I566" s="23"/>
      <c r="J566" s="23"/>
      <c r="K566" s="64"/>
      <c r="L566" s="64"/>
      <c r="M566" s="18"/>
      <c r="N566" s="64"/>
      <c r="O566" s="7"/>
      <c r="P566" s="18"/>
      <c r="Q566" s="50"/>
      <c r="R566" s="23"/>
      <c r="S566" s="67"/>
      <c r="T566" s="67"/>
      <c r="U566" s="67"/>
      <c r="V566" s="67"/>
      <c r="W566" s="67"/>
      <c r="X566" s="67"/>
      <c r="Y566" s="67"/>
    </row>
    <row r="567" spans="7:25" ht="12.75">
      <c r="G567" s="50"/>
      <c r="H567" s="54"/>
      <c r="I567" s="23"/>
      <c r="J567" s="23"/>
      <c r="K567" s="64"/>
      <c r="L567" s="64"/>
      <c r="M567" s="18"/>
      <c r="N567" s="64"/>
      <c r="O567" s="50"/>
      <c r="P567" s="18"/>
      <c r="Q567" s="50"/>
      <c r="R567" s="23"/>
      <c r="S567" s="67"/>
      <c r="T567" s="67"/>
      <c r="U567" s="67"/>
      <c r="V567" s="67"/>
      <c r="W567" s="67"/>
      <c r="X567" s="67"/>
      <c r="Y567" s="67"/>
    </row>
    <row r="568" spans="7:25" ht="12.75">
      <c r="G568" s="50"/>
      <c r="H568" s="50"/>
      <c r="I568" s="23"/>
      <c r="J568" s="23"/>
      <c r="K568" s="64"/>
      <c r="L568" s="64"/>
      <c r="M568" s="64"/>
      <c r="N568" s="64"/>
      <c r="O568" s="98"/>
      <c r="P568" s="18"/>
      <c r="Q568" s="50"/>
      <c r="R568" s="23"/>
      <c r="S568" s="67"/>
      <c r="T568" s="67"/>
      <c r="U568" s="67"/>
      <c r="V568" s="67"/>
      <c r="W568" s="67"/>
      <c r="X568" s="67"/>
      <c r="Y568" s="67"/>
    </row>
    <row r="569" spans="7:25" ht="12.75">
      <c r="G569" s="50"/>
      <c r="H569" s="50"/>
      <c r="I569" s="23"/>
      <c r="J569" s="23"/>
      <c r="K569" s="64"/>
      <c r="L569" s="64"/>
      <c r="M569" s="50"/>
      <c r="N569" s="64"/>
      <c r="O569" s="7"/>
      <c r="P569" s="18"/>
      <c r="Q569" s="50"/>
      <c r="R569" s="23"/>
      <c r="S569" s="67"/>
      <c r="T569" s="67"/>
      <c r="U569" s="67"/>
      <c r="V569" s="67"/>
      <c r="W569" s="67"/>
      <c r="X569" s="67"/>
      <c r="Y569" s="67"/>
    </row>
    <row r="570" spans="7:25" ht="12.75">
      <c r="G570" s="99"/>
      <c r="H570" s="99"/>
      <c r="I570" s="23"/>
      <c r="J570" s="23"/>
      <c r="K570" s="64"/>
      <c r="L570" s="64"/>
      <c r="M570" s="18"/>
      <c r="N570" s="64"/>
      <c r="O570" s="18"/>
      <c r="P570" s="18"/>
      <c r="Q570" s="50"/>
      <c r="R570" s="23"/>
      <c r="S570" s="67"/>
      <c r="T570" s="67"/>
      <c r="U570" s="67"/>
      <c r="V570" s="67"/>
      <c r="W570" s="67"/>
      <c r="X570" s="67"/>
      <c r="Y570" s="67"/>
    </row>
    <row r="571" spans="7:25" ht="12.75">
      <c r="G571" s="7"/>
      <c r="H571" s="7"/>
      <c r="I571" s="7"/>
      <c r="J571" s="7"/>
      <c r="K571" s="7"/>
      <c r="L571" s="7"/>
      <c r="M571" s="7"/>
      <c r="N571" s="7"/>
      <c r="O571" s="7"/>
      <c r="P571" s="7"/>
      <c r="Q571" s="7"/>
      <c r="R571" s="7"/>
      <c r="S571" s="7"/>
      <c r="T571" s="7"/>
      <c r="U571" s="7"/>
      <c r="V571" s="7"/>
      <c r="W571" s="7"/>
      <c r="X571" s="7"/>
      <c r="Y571" s="7"/>
    </row>
    <row r="572" spans="7:25" ht="12.75">
      <c r="G572" s="7"/>
      <c r="H572" s="54"/>
      <c r="I572" s="7"/>
      <c r="J572" s="7"/>
      <c r="K572" s="7"/>
      <c r="L572" s="7"/>
      <c r="M572" s="54"/>
      <c r="N572" s="7"/>
      <c r="O572" s="7"/>
      <c r="P572" s="7"/>
      <c r="Q572" s="7"/>
      <c r="R572" s="7"/>
      <c r="S572" s="7"/>
      <c r="T572" s="7"/>
      <c r="U572" s="7"/>
      <c r="V572" s="7"/>
      <c r="W572" s="7"/>
      <c r="X572" s="7"/>
      <c r="Y572" s="7"/>
    </row>
    <row r="573" spans="7:25" ht="12.75">
      <c r="G573" s="7"/>
      <c r="H573" s="37"/>
      <c r="I573" s="18"/>
      <c r="J573" s="18"/>
      <c r="K573" s="64"/>
      <c r="L573" s="64"/>
      <c r="M573" s="37"/>
      <c r="N573" s="64"/>
      <c r="O573" s="7"/>
      <c r="P573" s="100"/>
      <c r="Q573" s="50"/>
      <c r="R573" s="104"/>
      <c r="S573" s="73"/>
      <c r="T573" s="73"/>
      <c r="U573" s="73"/>
      <c r="V573" s="73"/>
      <c r="W573" s="73"/>
      <c r="X573" s="73"/>
      <c r="Y573" s="73"/>
    </row>
    <row r="574" spans="7:25" ht="12.75">
      <c r="G574" s="7"/>
      <c r="H574" s="7"/>
      <c r="I574" s="7"/>
      <c r="J574" s="7"/>
      <c r="K574" s="7"/>
      <c r="L574" s="7"/>
      <c r="M574" s="117"/>
      <c r="N574" s="102"/>
      <c r="O574" s="102"/>
      <c r="P574" s="102"/>
      <c r="Q574" s="102"/>
      <c r="R574" s="102"/>
      <c r="S574" s="7"/>
      <c r="T574" s="7"/>
      <c r="U574" s="7"/>
      <c r="V574" s="7"/>
      <c r="W574" s="7"/>
      <c r="X574" s="7"/>
      <c r="Y574" s="7"/>
    </row>
    <row r="575" spans="7:25" ht="12.75">
      <c r="G575" s="7"/>
      <c r="H575" s="7"/>
      <c r="I575" s="7"/>
      <c r="J575" s="7"/>
      <c r="K575" s="7"/>
      <c r="L575" s="7"/>
      <c r="M575" s="7"/>
      <c r="N575" s="7"/>
      <c r="O575" s="7"/>
      <c r="P575" s="7"/>
      <c r="Q575" s="7"/>
      <c r="R575" s="7"/>
      <c r="S575" s="7"/>
      <c r="T575" s="7"/>
      <c r="U575" s="7"/>
      <c r="V575" s="7"/>
      <c r="W575" s="7"/>
      <c r="X575" s="7"/>
      <c r="Y575" s="7"/>
    </row>
  </sheetData>
  <sheetProtection password="DC2C" sheet="1" objects="1" scenarios="1"/>
  <mergeCells count="85">
    <mergeCell ref="B19:C19"/>
    <mergeCell ref="C64:N64"/>
    <mergeCell ref="C60:N63"/>
    <mergeCell ref="M34:N34"/>
    <mergeCell ref="M32:N32"/>
    <mergeCell ref="M38:N38"/>
    <mergeCell ref="M45:N45"/>
    <mergeCell ref="M44:N44"/>
    <mergeCell ref="M46:N46"/>
    <mergeCell ref="M43:N43"/>
    <mergeCell ref="R60:S60"/>
    <mergeCell ref="M35:N35"/>
    <mergeCell ref="M42:N42"/>
    <mergeCell ref="M41:N41"/>
    <mergeCell ref="M40:N40"/>
    <mergeCell ref="M39:N39"/>
    <mergeCell ref="R59:T59"/>
    <mergeCell ref="M55:N55"/>
    <mergeCell ref="M37:N37"/>
    <mergeCell ref="K58:O58"/>
    <mergeCell ref="B9:C9"/>
    <mergeCell ref="E9:F9"/>
    <mergeCell ref="B8:C8"/>
    <mergeCell ref="I66:K66"/>
    <mergeCell ref="H57:I57"/>
    <mergeCell ref="B15:C15"/>
    <mergeCell ref="B16:C16"/>
    <mergeCell ref="B17:C17"/>
    <mergeCell ref="K20:M20"/>
    <mergeCell ref="B18:C18"/>
    <mergeCell ref="M29:N29"/>
    <mergeCell ref="M28:N28"/>
    <mergeCell ref="M31:N31"/>
    <mergeCell ref="M22:N22"/>
    <mergeCell ref="M25:N25"/>
    <mergeCell ref="M9:N9"/>
    <mergeCell ref="M21:N21"/>
    <mergeCell ref="H56:I56"/>
    <mergeCell ref="K56:O56"/>
    <mergeCell ref="M57:O57"/>
    <mergeCell ref="F57:G57"/>
    <mergeCell ref="D58:E58"/>
    <mergeCell ref="B58:C58"/>
    <mergeCell ref="H58:I58"/>
    <mergeCell ref="F58:G58"/>
    <mergeCell ref="D20:E20"/>
    <mergeCell ref="M24:N24"/>
    <mergeCell ref="A2:O2"/>
    <mergeCell ref="H5:N5"/>
    <mergeCell ref="D5:E5"/>
    <mergeCell ref="F5:G5"/>
    <mergeCell ref="A3:O3"/>
    <mergeCell ref="M23:N23"/>
    <mergeCell ref="H8:M8"/>
    <mergeCell ref="G20:H20"/>
    <mergeCell ref="BF3:BG4"/>
    <mergeCell ref="BH3:BI4"/>
    <mergeCell ref="BH5:BI5"/>
    <mergeCell ref="BC3:BD4"/>
    <mergeCell ref="K6:N6"/>
    <mergeCell ref="M36:N36"/>
    <mergeCell ref="M33:N33"/>
    <mergeCell ref="M30:N30"/>
    <mergeCell ref="M26:N26"/>
    <mergeCell ref="M27:N27"/>
    <mergeCell ref="Q6:R6"/>
    <mergeCell ref="B6:C6"/>
    <mergeCell ref="E8:F8"/>
    <mergeCell ref="B56:C56"/>
    <mergeCell ref="B11:C11"/>
    <mergeCell ref="K47:L47"/>
    <mergeCell ref="I49:J49"/>
    <mergeCell ref="I53:J53"/>
    <mergeCell ref="I48:J48"/>
    <mergeCell ref="I52:J52"/>
    <mergeCell ref="B80:C80"/>
    <mergeCell ref="E10:F10"/>
    <mergeCell ref="B13:C13"/>
    <mergeCell ref="B14:C14"/>
    <mergeCell ref="B10:C10"/>
    <mergeCell ref="E11:F11"/>
    <mergeCell ref="B57:C57"/>
    <mergeCell ref="F56:G56"/>
    <mergeCell ref="D57:E57"/>
    <mergeCell ref="D56:E56"/>
  </mergeCells>
  <conditionalFormatting sqref="N10">
    <cfRule type="expression" priority="1" dxfId="6" stopIfTrue="1">
      <formula>$Q$24</formula>
    </cfRule>
  </conditionalFormatting>
  <conditionalFormatting sqref="B27">
    <cfRule type="cellIs" priority="2" dxfId="0" operator="greaterThan" stopIfTrue="1">
      <formula>+B23+J10-1</formula>
    </cfRule>
  </conditionalFormatting>
  <conditionalFormatting sqref="B31">
    <cfRule type="cellIs" priority="3" dxfId="0" operator="greaterThan" stopIfTrue="1">
      <formula>+B23+J10-1</formula>
    </cfRule>
  </conditionalFormatting>
  <conditionalFormatting sqref="B35">
    <cfRule type="cellIs" priority="4" dxfId="0" operator="greaterThan" stopIfTrue="1">
      <formula>+B23+J10-1</formula>
    </cfRule>
  </conditionalFormatting>
  <conditionalFormatting sqref="B39">
    <cfRule type="cellIs" priority="5" dxfId="0" operator="greaterThan" stopIfTrue="1">
      <formula>+B23+J10-1</formula>
    </cfRule>
  </conditionalFormatting>
  <conditionalFormatting sqref="B43">
    <cfRule type="cellIs" priority="6" dxfId="0" operator="greaterThan" stopIfTrue="1">
      <formula>+B23+J10-1</formula>
    </cfRule>
  </conditionalFormatting>
  <conditionalFormatting sqref="D15:M16">
    <cfRule type="cellIs" priority="7" dxfId="0" operator="equal" stopIfTrue="1">
      <formula>+$Y$5</formula>
    </cfRule>
  </conditionalFormatting>
  <dataValidations count="5">
    <dataValidation type="list" allowBlank="1" showInputMessage="1" showErrorMessage="1" sqref="D11">
      <formula1>AD91:AD92</formula1>
    </dataValidation>
    <dataValidation type="list" allowBlank="1" showInputMessage="1" showErrorMessage="1" sqref="D9">
      <formula1>$AL$124:$AL$135</formula1>
    </dataValidation>
    <dataValidation type="list" allowBlank="1" showInputMessage="1" showErrorMessage="1" sqref="C5">
      <formula1>$AL$120:$AL$122</formula1>
    </dataValidation>
    <dataValidation type="list" allowBlank="1" showInputMessage="1" showErrorMessage="1" sqref="K75:L75">
      <formula1>$AE$72:$AE$73</formula1>
    </dataValidation>
    <dataValidation type="list" allowBlank="1" showInputMessage="1" showErrorMessage="1" sqref="H48:H49 H52:H53">
      <formula1>$AX$169:$AX$171</formula1>
    </dataValidation>
  </dataValidations>
  <printOptions horizontalCentered="1" verticalCentered="1"/>
  <pageMargins left="0" right="0" top="0" bottom="0" header="0" footer="0"/>
  <pageSetup horizontalDpi="300" verticalDpi="300" orientation="portrait" scale="80" r:id="rId3"/>
  <legacyDrawing r:id="rId2"/>
</worksheet>
</file>

<file path=xl/worksheets/sheet4.xml><?xml version="1.0" encoding="utf-8"?>
<worksheet xmlns="http://schemas.openxmlformats.org/spreadsheetml/2006/main" xmlns:r="http://schemas.openxmlformats.org/officeDocument/2006/relationships">
  <sheetPr codeName="Sheet4"/>
  <dimension ref="A1:U574"/>
  <sheetViews>
    <sheetView zoomScaleSheetLayoutView="100" zoomScalePageLayoutView="0" workbookViewId="0" topLeftCell="B1">
      <selection activeCell="H8" sqref="H8"/>
    </sheetView>
  </sheetViews>
  <sheetFormatPr defaultColWidth="9.140625" defaultRowHeight="12.75"/>
  <cols>
    <col min="1" max="1" width="10.7109375" style="462" hidden="1" customWidth="1"/>
    <col min="2" max="2" width="6.140625" style="504" customWidth="1"/>
    <col min="3" max="13" width="10.7109375" style="479" customWidth="1"/>
    <col min="14" max="14" width="9.28125" style="479" customWidth="1"/>
    <col min="15" max="15" width="11.8515625" style="462" customWidth="1"/>
    <col min="16" max="16" width="10.57421875" style="479" customWidth="1"/>
    <col min="17" max="17" width="10.00390625" style="479" customWidth="1"/>
    <col min="18" max="18" width="8.7109375" style="479" customWidth="1"/>
    <col min="19" max="19" width="7.8515625" style="479" customWidth="1"/>
    <col min="20" max="20" width="9.7109375" style="479" customWidth="1"/>
    <col min="21" max="16384" width="9.140625" style="479" customWidth="1"/>
  </cols>
  <sheetData>
    <row r="1" spans="1:20" s="466" customFormat="1" ht="13.5" customHeight="1">
      <c r="A1" s="419"/>
      <c r="B1" s="415"/>
      <c r="C1" s="416"/>
      <c r="D1" s="401"/>
      <c r="E1" s="417"/>
      <c r="F1" s="417"/>
      <c r="G1" s="417"/>
      <c r="H1" s="417"/>
      <c r="I1" s="417"/>
      <c r="J1" s="417"/>
      <c r="K1" s="417"/>
      <c r="L1" s="417"/>
      <c r="M1" s="417"/>
      <c r="N1" s="418"/>
      <c r="O1" s="419"/>
      <c r="P1" s="420"/>
      <c r="Q1" s="420"/>
      <c r="R1" s="420"/>
      <c r="S1" s="419"/>
      <c r="T1" s="419"/>
    </row>
    <row r="2" spans="1:20" s="468" customFormat="1" ht="16.5" customHeight="1">
      <c r="A2" s="414"/>
      <c r="B2" s="410"/>
      <c r="C2" s="411" t="s">
        <v>204</v>
      </c>
      <c r="D2" s="414"/>
      <c r="E2" s="399"/>
      <c r="F2" s="399"/>
      <c r="G2" s="399"/>
      <c r="H2" s="399"/>
      <c r="I2" s="399"/>
      <c r="J2" s="399"/>
      <c r="K2" s="399"/>
      <c r="L2" s="399"/>
      <c r="M2" s="399"/>
      <c r="N2" s="412"/>
      <c r="O2" s="421"/>
      <c r="P2" s="467"/>
      <c r="Q2" s="413"/>
      <c r="R2" s="413"/>
      <c r="S2" s="413"/>
      <c r="T2" s="421"/>
    </row>
    <row r="3" spans="1:20" s="468" customFormat="1" ht="16.5" customHeight="1">
      <c r="A3" s="414"/>
      <c r="B3" s="410"/>
      <c r="C3" s="414" t="s">
        <v>205</v>
      </c>
      <c r="D3" s="414"/>
      <c r="E3" s="414"/>
      <c r="F3" s="414"/>
      <c r="G3" s="414"/>
      <c r="H3" s="414"/>
      <c r="I3" s="414"/>
      <c r="J3" s="414"/>
      <c r="K3" s="414"/>
      <c r="L3" s="414"/>
      <c r="M3" s="414"/>
      <c r="N3" s="422"/>
      <c r="O3" s="413"/>
      <c r="P3" s="413"/>
      <c r="Q3" s="413"/>
      <c r="R3" s="413"/>
      <c r="S3" s="413"/>
      <c r="T3" s="421"/>
    </row>
    <row r="4" spans="1:20" s="468" customFormat="1" ht="16.5" customHeight="1">
      <c r="A4" s="414"/>
      <c r="B4" s="410"/>
      <c r="C4" s="411" t="s">
        <v>208</v>
      </c>
      <c r="D4" s="399"/>
      <c r="E4" s="469"/>
      <c r="F4" s="469"/>
      <c r="G4" s="399"/>
      <c r="H4" s="399"/>
      <c r="I4" s="470"/>
      <c r="J4" s="470"/>
      <c r="K4" s="470"/>
      <c r="L4" s="470"/>
      <c r="M4" s="470"/>
      <c r="N4" s="471"/>
      <c r="O4" s="413"/>
      <c r="P4" s="413"/>
      <c r="Q4" s="413"/>
      <c r="R4" s="472" t="s">
        <v>3</v>
      </c>
      <c r="S4" s="472"/>
      <c r="T4" s="421"/>
    </row>
    <row r="5" spans="1:20" s="468" customFormat="1" ht="16.5" customHeight="1">
      <c r="A5" s="414"/>
      <c r="B5" s="410"/>
      <c r="C5" s="411" t="s">
        <v>206</v>
      </c>
      <c r="D5" s="399"/>
      <c r="E5" s="399"/>
      <c r="F5" s="399"/>
      <c r="G5" s="399"/>
      <c r="H5" s="473"/>
      <c r="I5" s="399"/>
      <c r="J5" s="473"/>
      <c r="K5" s="399"/>
      <c r="L5" s="399"/>
      <c r="M5" s="399"/>
      <c r="N5" s="408"/>
      <c r="O5" s="474"/>
      <c r="P5" s="413"/>
      <c r="Q5" s="413"/>
      <c r="R5" s="472">
        <v>0.1</v>
      </c>
      <c r="S5" s="472">
        <v>0</v>
      </c>
      <c r="T5" s="421"/>
    </row>
    <row r="6" spans="1:20" s="466" customFormat="1" ht="16.5" customHeight="1">
      <c r="A6" s="423"/>
      <c r="B6" s="407"/>
      <c r="C6" s="411" t="s">
        <v>209</v>
      </c>
      <c r="D6" s="402"/>
      <c r="E6" s="402"/>
      <c r="F6" s="402"/>
      <c r="G6" s="423"/>
      <c r="H6" s="402"/>
      <c r="I6" s="402"/>
      <c r="J6" s="423"/>
      <c r="K6" s="402"/>
      <c r="L6" s="423"/>
      <c r="M6" s="423"/>
      <c r="N6" s="391"/>
      <c r="O6" s="396"/>
      <c r="P6" s="459"/>
      <c r="Q6" s="459"/>
      <c r="R6" s="475">
        <v>1</v>
      </c>
      <c r="S6" s="475">
        <v>1</v>
      </c>
      <c r="T6" s="419"/>
    </row>
    <row r="7" spans="1:20" s="466" customFormat="1" ht="9.75" customHeight="1">
      <c r="A7" s="423"/>
      <c r="B7" s="407"/>
      <c r="C7" s="907"/>
      <c r="D7" s="907"/>
      <c r="E7" s="476"/>
      <c r="F7" s="402"/>
      <c r="G7" s="423"/>
      <c r="H7" s="423"/>
      <c r="I7" s="399"/>
      <c r="J7" s="423"/>
      <c r="K7" s="399"/>
      <c r="L7" s="399"/>
      <c r="M7" s="423"/>
      <c r="N7" s="391"/>
      <c r="O7" s="396"/>
      <c r="P7" s="459"/>
      <c r="Q7" s="459"/>
      <c r="R7" s="475">
        <v>601</v>
      </c>
      <c r="S7" s="475">
        <v>2</v>
      </c>
      <c r="T7" s="419"/>
    </row>
    <row r="8" spans="1:20" s="466" customFormat="1" ht="16.5" customHeight="1">
      <c r="A8" s="423"/>
      <c r="B8" s="424"/>
      <c r="C8" s="913"/>
      <c r="D8" s="913"/>
      <c r="E8" s="426"/>
      <c r="F8" s="399" t="s">
        <v>196</v>
      </c>
      <c r="G8" s="423"/>
      <c r="H8" s="730">
        <v>6000</v>
      </c>
      <c r="I8" s="906" t="s">
        <v>207</v>
      </c>
      <c r="J8" s="907"/>
      <c r="K8" s="907"/>
      <c r="L8" s="907"/>
      <c r="M8" s="399">
        <f>VLOOKUP(H8,R5:S11,2)</f>
        <v>6</v>
      </c>
      <c r="N8" s="391"/>
      <c r="O8" s="396"/>
      <c r="P8" s="459"/>
      <c r="Q8" s="459"/>
      <c r="R8" s="475">
        <v>1001</v>
      </c>
      <c r="S8" s="477">
        <v>3</v>
      </c>
      <c r="T8" s="419"/>
    </row>
    <row r="9" spans="1:20" ht="16.5" customHeight="1">
      <c r="A9" s="426"/>
      <c r="B9" s="424"/>
      <c r="C9" s="913"/>
      <c r="D9" s="913"/>
      <c r="E9" s="426"/>
      <c r="F9" s="399" t="s">
        <v>197</v>
      </c>
      <c r="G9" s="426"/>
      <c r="H9" s="730">
        <v>2150</v>
      </c>
      <c r="I9" s="399"/>
      <c r="J9" s="478"/>
      <c r="K9" s="399"/>
      <c r="L9" s="399"/>
      <c r="M9" s="426"/>
      <c r="N9" s="391"/>
      <c r="O9" s="396"/>
      <c r="P9" s="459"/>
      <c r="Q9" s="459"/>
      <c r="R9" s="475">
        <v>1601</v>
      </c>
      <c r="S9" s="475">
        <v>4</v>
      </c>
      <c r="T9" s="462"/>
    </row>
    <row r="10" spans="1:20" ht="18.75" customHeight="1">
      <c r="A10" s="426"/>
      <c r="B10" s="424"/>
      <c r="C10" s="425"/>
      <c r="D10" s="425"/>
      <c r="E10" s="426"/>
      <c r="F10" s="399" t="s">
        <v>198</v>
      </c>
      <c r="G10" s="426"/>
      <c r="H10" s="399">
        <f>H8-H9</f>
        <v>3850</v>
      </c>
      <c r="I10" s="399"/>
      <c r="J10" s="478"/>
      <c r="K10" s="399"/>
      <c r="L10" s="399"/>
      <c r="M10" s="426"/>
      <c r="N10" s="391"/>
      <c r="O10" s="396"/>
      <c r="R10" s="475">
        <v>3601</v>
      </c>
      <c r="S10" s="475">
        <v>5</v>
      </c>
      <c r="T10" s="462"/>
    </row>
    <row r="11" spans="1:20" ht="18.75" customHeight="1">
      <c r="A11" s="426"/>
      <c r="B11" s="410"/>
      <c r="C11" s="908"/>
      <c r="D11" s="908"/>
      <c r="E11" s="423" t="s">
        <v>203</v>
      </c>
      <c r="F11" s="414"/>
      <c r="G11" s="414"/>
      <c r="H11" s="414"/>
      <c r="I11" s="414"/>
      <c r="J11" s="414"/>
      <c r="K11" s="427"/>
      <c r="L11" s="414"/>
      <c r="M11" s="414"/>
      <c r="N11" s="408"/>
      <c r="O11" s="396"/>
      <c r="R11" s="475">
        <v>5001</v>
      </c>
      <c r="S11" s="477">
        <v>6</v>
      </c>
      <c r="T11" s="462"/>
    </row>
    <row r="12" spans="1:20" s="468" customFormat="1" ht="15" customHeight="1">
      <c r="A12" s="414"/>
      <c r="B12" s="424"/>
      <c r="C12" s="426"/>
      <c r="D12" s="426"/>
      <c r="E12" s="426"/>
      <c r="F12" s="426"/>
      <c r="G12" s="426"/>
      <c r="H12" s="428"/>
      <c r="I12" s="428"/>
      <c r="J12" s="428"/>
      <c r="K12" s="428"/>
      <c r="L12" s="428"/>
      <c r="M12" s="428"/>
      <c r="N12" s="480"/>
      <c r="O12" s="400"/>
      <c r="R12" s="459"/>
      <c r="S12" s="481"/>
      <c r="T12" s="421"/>
    </row>
    <row r="13" spans="1:20" ht="16.5" customHeight="1">
      <c r="A13" s="426"/>
      <c r="B13" s="407"/>
      <c r="C13" s="909" t="s">
        <v>13</v>
      </c>
      <c r="D13" s="910"/>
      <c r="E13" s="731">
        <v>301</v>
      </c>
      <c r="F13" s="731">
        <v>302</v>
      </c>
      <c r="G13" s="731">
        <v>303</v>
      </c>
      <c r="H13" s="731">
        <v>304</v>
      </c>
      <c r="I13" s="731">
        <v>305</v>
      </c>
      <c r="J13" s="731">
        <v>306</v>
      </c>
      <c r="K13" s="732">
        <v>307</v>
      </c>
      <c r="L13" s="732">
        <v>308</v>
      </c>
      <c r="M13" s="732">
        <v>309</v>
      </c>
      <c r="N13" s="435"/>
      <c r="P13" s="468"/>
      <c r="Q13" s="468"/>
      <c r="T13" s="462"/>
    </row>
    <row r="14" spans="1:20" s="466" customFormat="1" ht="16.5" customHeight="1">
      <c r="A14" s="423"/>
      <c r="B14" s="407"/>
      <c r="C14" s="911" t="s">
        <v>114</v>
      </c>
      <c r="D14" s="912"/>
      <c r="E14" s="731">
        <v>650</v>
      </c>
      <c r="F14" s="731">
        <v>1567</v>
      </c>
      <c r="G14" s="731">
        <v>2400</v>
      </c>
      <c r="H14" s="731">
        <v>2820</v>
      </c>
      <c r="I14" s="731">
        <v>3444</v>
      </c>
      <c r="J14" s="731">
        <v>4001</v>
      </c>
      <c r="K14" s="731">
        <v>4567</v>
      </c>
      <c r="L14" s="732">
        <v>5221</v>
      </c>
      <c r="M14" s="732">
        <v>5900</v>
      </c>
      <c r="N14" s="435"/>
      <c r="O14" s="419"/>
      <c r="P14" s="483"/>
      <c r="Q14" s="483"/>
      <c r="T14" s="419"/>
    </row>
    <row r="15" spans="1:20" s="466" customFormat="1" ht="16.5" customHeight="1" hidden="1">
      <c r="A15" s="423"/>
      <c r="B15" s="407" t="s">
        <v>187</v>
      </c>
      <c r="C15" s="909" t="s">
        <v>188</v>
      </c>
      <c r="D15" s="910"/>
      <c r="E15" s="731">
        <f aca="true" t="shared" si="0" ref="E15:M15">$H$9</f>
        <v>2150</v>
      </c>
      <c r="F15" s="731">
        <f t="shared" si="0"/>
        <v>2150</v>
      </c>
      <c r="G15" s="731">
        <f t="shared" si="0"/>
        <v>2150</v>
      </c>
      <c r="H15" s="731">
        <f t="shared" si="0"/>
        <v>2150</v>
      </c>
      <c r="I15" s="731">
        <f t="shared" si="0"/>
        <v>2150</v>
      </c>
      <c r="J15" s="731">
        <f t="shared" si="0"/>
        <v>2150</v>
      </c>
      <c r="K15" s="731">
        <f t="shared" si="0"/>
        <v>2150</v>
      </c>
      <c r="L15" s="731">
        <f t="shared" si="0"/>
        <v>2150</v>
      </c>
      <c r="M15" s="731">
        <f t="shared" si="0"/>
        <v>2150</v>
      </c>
      <c r="N15" s="435"/>
      <c r="O15" s="419"/>
      <c r="P15" s="468"/>
      <c r="Q15" s="468"/>
      <c r="T15" s="419"/>
    </row>
    <row r="16" spans="1:20" s="466" customFormat="1" ht="16.5" customHeight="1" hidden="1">
      <c r="A16" s="423"/>
      <c r="B16" s="407" t="s">
        <v>190</v>
      </c>
      <c r="C16" s="911" t="s">
        <v>189</v>
      </c>
      <c r="D16" s="912"/>
      <c r="E16" s="733">
        <v>650</v>
      </c>
      <c r="F16" s="733">
        <v>1567</v>
      </c>
      <c r="G16" s="733">
        <v>2000</v>
      </c>
      <c r="H16" s="733">
        <v>2000</v>
      </c>
      <c r="I16" s="733">
        <v>2000</v>
      </c>
      <c r="J16" s="733">
        <v>2000</v>
      </c>
      <c r="K16" s="733">
        <v>2000</v>
      </c>
      <c r="L16" s="733">
        <v>2000</v>
      </c>
      <c r="M16" s="733">
        <v>2000</v>
      </c>
      <c r="N16" s="435"/>
      <c r="O16" s="419"/>
      <c r="P16" s="468"/>
      <c r="Q16" s="468"/>
      <c r="T16" s="419"/>
    </row>
    <row r="17" spans="1:20" s="466" customFormat="1" ht="16.5" customHeight="1" hidden="1">
      <c r="A17" s="423"/>
      <c r="B17" s="407" t="s">
        <v>192</v>
      </c>
      <c r="C17" s="911" t="s">
        <v>194</v>
      </c>
      <c r="D17" s="912"/>
      <c r="E17" s="733">
        <v>0</v>
      </c>
      <c r="F17" s="733">
        <v>0</v>
      </c>
      <c r="G17" s="733">
        <v>400</v>
      </c>
      <c r="H17" s="733">
        <v>8200</v>
      </c>
      <c r="I17" s="733">
        <v>1444</v>
      </c>
      <c r="J17" s="733">
        <v>2001</v>
      </c>
      <c r="K17" s="733">
        <v>2567</v>
      </c>
      <c r="L17" s="733">
        <v>3221</v>
      </c>
      <c r="M17" s="733">
        <v>3900</v>
      </c>
      <c r="N17" s="435"/>
      <c r="O17" s="419"/>
      <c r="P17" s="468"/>
      <c r="Q17" s="468"/>
      <c r="T17" s="419"/>
    </row>
    <row r="18" spans="1:20" s="466" customFormat="1" ht="16.5" customHeight="1">
      <c r="A18" s="423"/>
      <c r="B18" s="407"/>
      <c r="C18" s="911" t="s">
        <v>115</v>
      </c>
      <c r="D18" s="912"/>
      <c r="E18" s="734">
        <v>3.8</v>
      </c>
      <c r="F18" s="734">
        <v>3.7</v>
      </c>
      <c r="G18" s="734">
        <v>4.1</v>
      </c>
      <c r="H18" s="734">
        <v>3.7</v>
      </c>
      <c r="I18" s="734">
        <v>3</v>
      </c>
      <c r="J18" s="734">
        <v>2</v>
      </c>
      <c r="K18" s="734">
        <v>5</v>
      </c>
      <c r="L18" s="734">
        <v>4.4</v>
      </c>
      <c r="M18" s="734">
        <v>2</v>
      </c>
      <c r="N18" s="435"/>
      <c r="O18" s="485"/>
      <c r="P18" s="468"/>
      <c r="Q18" s="486"/>
      <c r="R18" s="487"/>
      <c r="T18" s="419"/>
    </row>
    <row r="19" spans="1:18" s="419" customFormat="1" ht="15" customHeight="1" thickBot="1">
      <c r="A19" s="423"/>
      <c r="B19" s="429"/>
      <c r="C19" s="430"/>
      <c r="D19" s="430"/>
      <c r="E19" s="914"/>
      <c r="F19" s="914"/>
      <c r="G19" s="432"/>
      <c r="H19" s="914"/>
      <c r="I19" s="914"/>
      <c r="J19" s="431"/>
      <c r="K19" s="914"/>
      <c r="L19" s="914"/>
      <c r="M19" s="433"/>
      <c r="N19" s="434"/>
      <c r="O19" s="485"/>
      <c r="P19" s="468"/>
      <c r="Q19" s="486"/>
      <c r="R19" s="487"/>
    </row>
    <row r="20" spans="1:21" s="466" customFormat="1" ht="16.5" customHeight="1" hidden="1">
      <c r="A20" s="423"/>
      <c r="B20" s="407"/>
      <c r="C20" s="423"/>
      <c r="D20" s="423"/>
      <c r="E20" s="402"/>
      <c r="F20" s="402"/>
      <c r="G20" s="402"/>
      <c r="H20" s="402"/>
      <c r="I20" s="402"/>
      <c r="J20" s="402"/>
      <c r="K20" s="402"/>
      <c r="L20" s="907"/>
      <c r="M20" s="907"/>
      <c r="N20" s="435"/>
      <c r="O20" s="485"/>
      <c r="P20" s="468"/>
      <c r="Q20" s="486"/>
      <c r="R20" s="487"/>
      <c r="T20" s="419"/>
      <c r="U20" s="419"/>
    </row>
    <row r="21" spans="1:21" s="466" customFormat="1" ht="16.5" customHeight="1" hidden="1">
      <c r="A21" s="423"/>
      <c r="B21" s="407" t="s">
        <v>186</v>
      </c>
      <c r="C21" s="402"/>
      <c r="D21" s="402"/>
      <c r="E21" s="402"/>
      <c r="F21" s="423"/>
      <c r="G21" s="402"/>
      <c r="H21" s="402"/>
      <c r="I21" s="402"/>
      <c r="J21" s="402"/>
      <c r="K21" s="402"/>
      <c r="L21" s="907"/>
      <c r="M21" s="907"/>
      <c r="N21" s="435"/>
      <c r="O21" s="485"/>
      <c r="P21" s="468"/>
      <c r="Q21" s="486"/>
      <c r="R21" s="487"/>
      <c r="S21" s="488">
        <v>4</v>
      </c>
      <c r="T21" s="419"/>
      <c r="U21" s="419"/>
    </row>
    <row r="22" spans="1:21" s="466" customFormat="1" ht="16.5" customHeight="1" hidden="1">
      <c r="A22" s="423"/>
      <c r="B22" s="407" t="s">
        <v>187</v>
      </c>
      <c r="C22" s="409" t="s">
        <v>193</v>
      </c>
      <c r="D22" s="402"/>
      <c r="E22" s="489"/>
      <c r="F22" s="436"/>
      <c r="G22" s="436"/>
      <c r="H22" s="437"/>
      <c r="I22" s="438"/>
      <c r="J22" s="438"/>
      <c r="K22" s="439"/>
      <c r="L22" s="915"/>
      <c r="M22" s="915"/>
      <c r="N22" s="435"/>
      <c r="O22" s="485"/>
      <c r="P22" s="468"/>
      <c r="Q22" s="486"/>
      <c r="R22" s="487"/>
      <c r="S22" s="488">
        <v>5</v>
      </c>
      <c r="T22" s="419"/>
      <c r="U22" s="419"/>
    </row>
    <row r="23" spans="1:21" s="466" customFormat="1" ht="16.5" customHeight="1" hidden="1">
      <c r="A23" s="423"/>
      <c r="B23" s="407" t="s">
        <v>190</v>
      </c>
      <c r="C23" s="409" t="s">
        <v>191</v>
      </c>
      <c r="D23" s="402"/>
      <c r="E23" s="489"/>
      <c r="F23" s="436"/>
      <c r="G23" s="436"/>
      <c r="H23" s="402"/>
      <c r="I23" s="438"/>
      <c r="J23" s="438"/>
      <c r="K23" s="439"/>
      <c r="L23" s="915"/>
      <c r="M23" s="915"/>
      <c r="N23" s="435"/>
      <c r="O23" s="485"/>
      <c r="P23" s="468"/>
      <c r="Q23" s="486"/>
      <c r="R23" s="487"/>
      <c r="S23" s="488">
        <v>6</v>
      </c>
      <c r="T23" s="419"/>
      <c r="U23" s="419"/>
    </row>
    <row r="24" spans="1:21" s="491" customFormat="1" ht="16.5" customHeight="1" hidden="1">
      <c r="A24" s="402"/>
      <c r="B24" s="407" t="s">
        <v>192</v>
      </c>
      <c r="C24" s="402" t="s">
        <v>195</v>
      </c>
      <c r="D24" s="438"/>
      <c r="E24" s="489"/>
      <c r="F24" s="436"/>
      <c r="G24" s="404"/>
      <c r="H24" s="402"/>
      <c r="I24" s="438"/>
      <c r="J24" s="438"/>
      <c r="K24" s="439"/>
      <c r="L24" s="915"/>
      <c r="M24" s="915"/>
      <c r="N24" s="435"/>
      <c r="O24" s="485"/>
      <c r="P24" s="468"/>
      <c r="Q24" s="486"/>
      <c r="R24" s="487"/>
      <c r="S24" s="490">
        <v>6</v>
      </c>
      <c r="T24" s="403"/>
      <c r="U24" s="403"/>
    </row>
    <row r="25" spans="1:21" s="491" customFormat="1" ht="16.5" customHeight="1" hidden="1">
      <c r="A25" s="402"/>
      <c r="B25" s="407"/>
      <c r="C25" s="402"/>
      <c r="D25" s="438"/>
      <c r="E25" s="489"/>
      <c r="F25" s="436"/>
      <c r="G25" s="404"/>
      <c r="H25" s="402"/>
      <c r="I25" s="438"/>
      <c r="J25" s="438"/>
      <c r="K25" s="439"/>
      <c r="L25" s="440"/>
      <c r="M25" s="440"/>
      <c r="N25" s="435"/>
      <c r="O25" s="485"/>
      <c r="P25" s="468"/>
      <c r="Q25" s="486"/>
      <c r="R25" s="487"/>
      <c r="S25" s="403"/>
      <c r="T25" s="403"/>
      <c r="U25" s="403"/>
    </row>
    <row r="26" spans="1:21" s="491" customFormat="1" ht="16.5" customHeight="1" hidden="1">
      <c r="A26" s="402"/>
      <c r="B26" s="429"/>
      <c r="C26" s="431"/>
      <c r="D26" s="431"/>
      <c r="E26" s="441"/>
      <c r="F26" s="442"/>
      <c r="G26" s="442"/>
      <c r="H26" s="430"/>
      <c r="I26" s="432"/>
      <c r="J26" s="432"/>
      <c r="K26" s="443"/>
      <c r="L26" s="916"/>
      <c r="M26" s="916"/>
      <c r="N26" s="434"/>
      <c r="O26" s="485"/>
      <c r="P26" s="468"/>
      <c r="Q26" s="486"/>
      <c r="R26" s="487"/>
      <c r="S26" s="403"/>
      <c r="T26" s="403"/>
      <c r="U26" s="403"/>
    </row>
    <row r="27" spans="1:18" s="419" customFormat="1" ht="16.5" customHeight="1" hidden="1">
      <c r="A27" s="423"/>
      <c r="B27" s="407"/>
      <c r="C27" s="926" t="s">
        <v>13</v>
      </c>
      <c r="D27" s="927"/>
      <c r="E27" s="492">
        <v>301</v>
      </c>
      <c r="F27" s="492">
        <v>302</v>
      </c>
      <c r="G27" s="492">
        <v>303</v>
      </c>
      <c r="H27" s="492">
        <v>304</v>
      </c>
      <c r="I27" s="492">
        <v>305</v>
      </c>
      <c r="J27" s="492">
        <v>306</v>
      </c>
      <c r="K27" s="493">
        <v>307</v>
      </c>
      <c r="L27" s="493">
        <v>308</v>
      </c>
      <c r="M27" s="493">
        <v>309</v>
      </c>
      <c r="N27" s="435"/>
      <c r="O27" s="485"/>
      <c r="P27" s="468"/>
      <c r="Q27" s="486"/>
      <c r="R27" s="487"/>
    </row>
    <row r="28" spans="1:21" s="466" customFormat="1" ht="16.5" customHeight="1" hidden="1">
      <c r="A28" s="423"/>
      <c r="B28" s="407"/>
      <c r="C28" s="911" t="s">
        <v>114</v>
      </c>
      <c r="D28" s="912"/>
      <c r="E28" s="446">
        <f>IF(E14&lt;E15,E14,E15)</f>
        <v>650</v>
      </c>
      <c r="F28" s="446">
        <f aca="true" t="shared" si="1" ref="F28:M28">IF(F14&lt;F15,F14,F15)</f>
        <v>1567</v>
      </c>
      <c r="G28" s="446">
        <f t="shared" si="1"/>
        <v>2150</v>
      </c>
      <c r="H28" s="446">
        <f t="shared" si="1"/>
        <v>2150</v>
      </c>
      <c r="I28" s="446">
        <f t="shared" si="1"/>
        <v>2150</v>
      </c>
      <c r="J28" s="446">
        <f t="shared" si="1"/>
        <v>2150</v>
      </c>
      <c r="K28" s="446">
        <f t="shared" si="1"/>
        <v>2150</v>
      </c>
      <c r="L28" s="446">
        <f t="shared" si="1"/>
        <v>2150</v>
      </c>
      <c r="M28" s="446">
        <f t="shared" si="1"/>
        <v>2150</v>
      </c>
      <c r="N28" s="435"/>
      <c r="O28" s="485"/>
      <c r="P28" s="468"/>
      <c r="Q28" s="486"/>
      <c r="R28" s="487"/>
      <c r="S28" s="419"/>
      <c r="T28" s="419"/>
      <c r="U28" s="419"/>
    </row>
    <row r="29" spans="1:21" s="466" customFormat="1" ht="15" customHeight="1" thickTop="1">
      <c r="A29" s="423"/>
      <c r="B29" s="407"/>
      <c r="C29" s="402"/>
      <c r="D29" s="402"/>
      <c r="E29" s="494"/>
      <c r="F29" s="494"/>
      <c r="G29" s="494"/>
      <c r="H29" s="494"/>
      <c r="I29" s="494"/>
      <c r="J29" s="494"/>
      <c r="K29" s="494"/>
      <c r="L29" s="494"/>
      <c r="M29" s="494"/>
      <c r="N29" s="435"/>
      <c r="O29" s="485"/>
      <c r="P29" s="468"/>
      <c r="Q29" s="486"/>
      <c r="R29" s="487"/>
      <c r="S29" s="419"/>
      <c r="T29" s="419"/>
      <c r="U29" s="419"/>
    </row>
    <row r="30" spans="1:21" s="466" customFormat="1" ht="16.5" customHeight="1">
      <c r="A30" s="423"/>
      <c r="B30" s="407"/>
      <c r="C30" s="907" t="s">
        <v>199</v>
      </c>
      <c r="D30" s="907"/>
      <c r="E30" s="495" t="s">
        <v>210</v>
      </c>
      <c r="F30" s="917" t="s">
        <v>200</v>
      </c>
      <c r="G30" s="917"/>
      <c r="H30" s="494">
        <f>H9</f>
        <v>2150</v>
      </c>
      <c r="I30" s="494"/>
      <c r="J30" s="496" t="s">
        <v>201</v>
      </c>
      <c r="K30" s="494"/>
      <c r="L30" s="731">
        <v>2</v>
      </c>
      <c r="M30" s="494"/>
      <c r="N30" s="435"/>
      <c r="O30" s="485"/>
      <c r="P30" s="468"/>
      <c r="Q30" s="486"/>
      <c r="R30" s="487"/>
      <c r="S30" s="419"/>
      <c r="T30" s="419"/>
      <c r="U30" s="419"/>
    </row>
    <row r="31" spans="1:21" s="466" customFormat="1" ht="10.5" customHeight="1">
      <c r="A31" s="423"/>
      <c r="B31" s="407"/>
      <c r="C31" s="444"/>
      <c r="D31" s="438"/>
      <c r="E31" s="489"/>
      <c r="F31" s="436"/>
      <c r="G31" s="404"/>
      <c r="H31" s="439"/>
      <c r="I31" s="438"/>
      <c r="J31" s="438"/>
      <c r="K31" s="439"/>
      <c r="L31" s="915"/>
      <c r="M31" s="915"/>
      <c r="N31" s="435"/>
      <c r="O31" s="419"/>
      <c r="P31" s="468"/>
      <c r="Q31" s="468"/>
      <c r="R31" s="419"/>
      <c r="S31" s="419"/>
      <c r="T31" s="419"/>
      <c r="U31" s="419"/>
    </row>
    <row r="32" spans="1:21" s="466" customFormat="1" ht="16.5" customHeight="1">
      <c r="A32" s="423"/>
      <c r="B32" s="407"/>
      <c r="C32" s="909" t="s">
        <v>13</v>
      </c>
      <c r="D32" s="910"/>
      <c r="E32" s="484">
        <f>IF(E33="","",E13)</f>
        <v>301</v>
      </c>
      <c r="F32" s="484">
        <f aca="true" t="shared" si="2" ref="F32:M32">IF(F33="","",F13)</f>
        <v>302</v>
      </c>
      <c r="G32" s="484">
        <f t="shared" si="2"/>
      </c>
      <c r="H32" s="484">
        <f t="shared" si="2"/>
      </c>
      <c r="I32" s="484">
        <f t="shared" si="2"/>
      </c>
      <c r="J32" s="484">
        <f t="shared" si="2"/>
      </c>
      <c r="K32" s="484">
        <f t="shared" si="2"/>
      </c>
      <c r="L32" s="484">
        <f t="shared" si="2"/>
      </c>
      <c r="M32" s="484">
        <f t="shared" si="2"/>
      </c>
      <c r="N32" s="435"/>
      <c r="O32" s="419"/>
      <c r="P32" s="468"/>
      <c r="Q32" s="468"/>
      <c r="R32" s="419"/>
      <c r="S32" s="419"/>
      <c r="T32" s="419"/>
      <c r="U32" s="419"/>
    </row>
    <row r="33" spans="1:21" s="466" customFormat="1" ht="16.5" customHeight="1">
      <c r="A33" s="423"/>
      <c r="B33" s="407"/>
      <c r="C33" s="911" t="s">
        <v>114</v>
      </c>
      <c r="D33" s="912"/>
      <c r="E33" s="484">
        <f aca="true" t="shared" si="3" ref="E33:M33">IF(E28=$H$30,"",IF(D28=F28,"",E28))</f>
        <v>650</v>
      </c>
      <c r="F33" s="484">
        <f t="shared" si="3"/>
        <v>1567</v>
      </c>
      <c r="G33" s="484">
        <f t="shared" si="3"/>
      </c>
      <c r="H33" s="484">
        <f t="shared" si="3"/>
      </c>
      <c r="I33" s="484">
        <f t="shared" si="3"/>
      </c>
      <c r="J33" s="484">
        <f t="shared" si="3"/>
      </c>
      <c r="K33" s="484">
        <f t="shared" si="3"/>
      </c>
      <c r="L33" s="484">
        <f t="shared" si="3"/>
      </c>
      <c r="M33" s="484">
        <f t="shared" si="3"/>
      </c>
      <c r="N33" s="435"/>
      <c r="O33" s="419"/>
      <c r="P33" s="468"/>
      <c r="Q33" s="468"/>
      <c r="R33" s="419"/>
      <c r="S33" s="419"/>
      <c r="T33" s="419"/>
      <c r="U33" s="419"/>
    </row>
    <row r="34" spans="1:21" s="466" customFormat="1" ht="16.5" customHeight="1">
      <c r="A34" s="423"/>
      <c r="B34" s="407"/>
      <c r="C34" s="911" t="s">
        <v>115</v>
      </c>
      <c r="D34" s="912"/>
      <c r="E34" s="497">
        <f>IF(E33="","",E18)</f>
        <v>3.8</v>
      </c>
      <c r="F34" s="497">
        <f aca="true" t="shared" si="4" ref="F34:M34">IF(F33="","",F18)</f>
        <v>3.7</v>
      </c>
      <c r="G34" s="497">
        <f t="shared" si="4"/>
      </c>
      <c r="H34" s="497">
        <f t="shared" si="4"/>
      </c>
      <c r="I34" s="497">
        <f t="shared" si="4"/>
      </c>
      <c r="J34" s="497">
        <f t="shared" si="4"/>
      </c>
      <c r="K34" s="497">
        <f t="shared" si="4"/>
      </c>
      <c r="L34" s="497">
        <f t="shared" si="4"/>
      </c>
      <c r="M34" s="497">
        <f t="shared" si="4"/>
      </c>
      <c r="N34" s="435"/>
      <c r="O34" s="419"/>
      <c r="P34" s="468"/>
      <c r="Q34" s="468"/>
      <c r="R34" s="419"/>
      <c r="S34" s="419"/>
      <c r="T34" s="419"/>
      <c r="U34" s="419"/>
    </row>
    <row r="35" spans="1:21" s="466" customFormat="1" ht="15" customHeight="1" thickBot="1">
      <c r="A35" s="423"/>
      <c r="B35" s="429"/>
      <c r="C35" s="431"/>
      <c r="D35" s="431"/>
      <c r="E35" s="432"/>
      <c r="F35" s="432"/>
      <c r="G35" s="432"/>
      <c r="H35" s="432"/>
      <c r="I35" s="432"/>
      <c r="J35" s="432"/>
      <c r="K35" s="432"/>
      <c r="L35" s="432"/>
      <c r="M35" s="432"/>
      <c r="N35" s="434"/>
      <c r="O35" s="419"/>
      <c r="P35" s="468"/>
      <c r="Q35" s="468"/>
      <c r="R35" s="419"/>
      <c r="S35" s="419"/>
      <c r="T35" s="419"/>
      <c r="U35" s="419"/>
    </row>
    <row r="36" spans="1:21" s="466" customFormat="1" ht="0.75" customHeight="1" thickTop="1">
      <c r="A36" s="423"/>
      <c r="B36" s="407"/>
      <c r="C36" s="402"/>
      <c r="D36" s="402"/>
      <c r="E36" s="489"/>
      <c r="F36" s="436"/>
      <c r="G36" s="436"/>
      <c r="H36" s="437"/>
      <c r="I36" s="438"/>
      <c r="J36" s="438"/>
      <c r="K36" s="439"/>
      <c r="L36" s="915"/>
      <c r="M36" s="915"/>
      <c r="N36" s="435"/>
      <c r="O36" s="419"/>
      <c r="P36" s="468"/>
      <c r="Q36" s="468"/>
      <c r="R36" s="419"/>
      <c r="S36" s="419"/>
      <c r="T36" s="419"/>
      <c r="U36" s="419"/>
    </row>
    <row r="37" spans="1:21" s="466" customFormat="1" ht="16.5" customHeight="1" hidden="1">
      <c r="A37" s="423"/>
      <c r="B37" s="407"/>
      <c r="C37" s="909" t="s">
        <v>13</v>
      </c>
      <c r="D37" s="910"/>
      <c r="E37" s="446">
        <v>301</v>
      </c>
      <c r="F37" s="446">
        <v>302</v>
      </c>
      <c r="G37" s="446">
        <v>303</v>
      </c>
      <c r="H37" s="446">
        <v>304</v>
      </c>
      <c r="I37" s="446">
        <v>305</v>
      </c>
      <c r="J37" s="446">
        <v>306</v>
      </c>
      <c r="K37" s="482">
        <v>307</v>
      </c>
      <c r="L37" s="482">
        <v>308</v>
      </c>
      <c r="M37" s="482">
        <v>309</v>
      </c>
      <c r="N37" s="435"/>
      <c r="O37" s="419"/>
      <c r="P37" s="468"/>
      <c r="Q37" s="468"/>
      <c r="R37" s="419"/>
      <c r="S37" s="419"/>
      <c r="T37" s="419"/>
      <c r="U37" s="419"/>
    </row>
    <row r="38" spans="1:21" s="466" customFormat="1" ht="16.5" customHeight="1" hidden="1">
      <c r="A38" s="423"/>
      <c r="B38" s="407"/>
      <c r="C38" s="911" t="s">
        <v>114</v>
      </c>
      <c r="D38" s="912"/>
      <c r="E38" s="446">
        <f>IF(E14&lt;E15,0,E14-E15)</f>
        <v>0</v>
      </c>
      <c r="F38" s="446">
        <f aca="true" t="shared" si="5" ref="F38:M38">IF(F14&lt;F15,0,F14-F15)</f>
        <v>0</v>
      </c>
      <c r="G38" s="446">
        <f t="shared" si="5"/>
        <v>250</v>
      </c>
      <c r="H38" s="446">
        <f t="shared" si="5"/>
        <v>670</v>
      </c>
      <c r="I38" s="446">
        <f t="shared" si="5"/>
        <v>1294</v>
      </c>
      <c r="J38" s="446">
        <f t="shared" si="5"/>
        <v>1851</v>
      </c>
      <c r="K38" s="446">
        <f t="shared" si="5"/>
        <v>2417</v>
      </c>
      <c r="L38" s="446">
        <f t="shared" si="5"/>
        <v>3071</v>
      </c>
      <c r="M38" s="446">
        <f t="shared" si="5"/>
        <v>3750</v>
      </c>
      <c r="N38" s="435"/>
      <c r="O38" s="419"/>
      <c r="P38" s="468"/>
      <c r="Q38" s="468"/>
      <c r="R38" s="419"/>
      <c r="S38" s="419"/>
      <c r="T38" s="419"/>
      <c r="U38" s="419"/>
    </row>
    <row r="39" spans="1:21" s="466" customFormat="1" ht="16.5" customHeight="1" hidden="1">
      <c r="A39" s="423"/>
      <c r="B39" s="407"/>
      <c r="C39" s="911" t="s">
        <v>115</v>
      </c>
      <c r="D39" s="912"/>
      <c r="E39" s="445">
        <f>E18</f>
        <v>3.8</v>
      </c>
      <c r="F39" s="445">
        <f aca="true" t="shared" si="6" ref="F39:M39">F18</f>
        <v>3.7</v>
      </c>
      <c r="G39" s="445">
        <f t="shared" si="6"/>
        <v>4.1</v>
      </c>
      <c r="H39" s="445">
        <f t="shared" si="6"/>
        <v>3.7</v>
      </c>
      <c r="I39" s="445">
        <f t="shared" si="6"/>
        <v>3</v>
      </c>
      <c r="J39" s="445">
        <f t="shared" si="6"/>
        <v>2</v>
      </c>
      <c r="K39" s="445">
        <f t="shared" si="6"/>
        <v>5</v>
      </c>
      <c r="L39" s="445">
        <f t="shared" si="6"/>
        <v>4.4</v>
      </c>
      <c r="M39" s="445">
        <f t="shared" si="6"/>
        <v>2</v>
      </c>
      <c r="N39" s="435"/>
      <c r="O39" s="419"/>
      <c r="P39" s="468"/>
      <c r="Q39" s="468"/>
      <c r="R39" s="419"/>
      <c r="S39" s="419"/>
      <c r="T39" s="419"/>
      <c r="U39" s="419"/>
    </row>
    <row r="40" spans="1:21" s="466" customFormat="1" ht="16.5" customHeight="1" hidden="1">
      <c r="A40" s="423"/>
      <c r="B40" s="407"/>
      <c r="C40" s="402"/>
      <c r="D40" s="402"/>
      <c r="E40" s="489"/>
      <c r="F40" s="436"/>
      <c r="G40" s="436"/>
      <c r="H40" s="437"/>
      <c r="I40" s="438"/>
      <c r="J40" s="438"/>
      <c r="K40" s="439"/>
      <c r="L40" s="915"/>
      <c r="M40" s="915"/>
      <c r="N40" s="435"/>
      <c r="O40" s="419"/>
      <c r="P40" s="468"/>
      <c r="Q40" s="468"/>
      <c r="R40" s="419"/>
      <c r="S40" s="419"/>
      <c r="T40" s="419"/>
      <c r="U40" s="419"/>
    </row>
    <row r="41" spans="1:21" s="466" customFormat="1" ht="16.5" customHeight="1" hidden="1">
      <c r="A41" s="423"/>
      <c r="B41" s="407"/>
      <c r="C41" s="909" t="s">
        <v>13</v>
      </c>
      <c r="D41" s="910"/>
      <c r="E41" s="446">
        <f>F41-1</f>
        <v>302</v>
      </c>
      <c r="F41" s="446">
        <f>IF(G38&gt;F38,G37,IF(H38&gt;G38,H37,IF(I38&gt;H38,I37,IF(J38&gt;I38,J37,IF(K38&gt;J38,K37,IF(L38&gt;K38,L37,IF(M38&gt;L38,M37,IF(N38&gt;M38,N37,""))))))))</f>
        <v>303</v>
      </c>
      <c r="G41" s="446">
        <f aca="true" t="shared" si="7" ref="G41:M41">F41+1</f>
        <v>304</v>
      </c>
      <c r="H41" s="446">
        <f t="shared" si="7"/>
        <v>305</v>
      </c>
      <c r="I41" s="446">
        <f t="shared" si="7"/>
        <v>306</v>
      </c>
      <c r="J41" s="446">
        <f t="shared" si="7"/>
        <v>307</v>
      </c>
      <c r="K41" s="446">
        <f t="shared" si="7"/>
        <v>308</v>
      </c>
      <c r="L41" s="446">
        <f t="shared" si="7"/>
        <v>309</v>
      </c>
      <c r="M41" s="446">
        <f t="shared" si="7"/>
        <v>310</v>
      </c>
      <c r="N41" s="435"/>
      <c r="O41" s="419"/>
      <c r="P41" s="468"/>
      <c r="Q41" s="468"/>
      <c r="R41" s="419"/>
      <c r="S41" s="419"/>
      <c r="T41" s="419"/>
      <c r="U41" s="419"/>
    </row>
    <row r="42" spans="1:21" s="466" customFormat="1" ht="16.5" customHeight="1" hidden="1">
      <c r="A42" s="423"/>
      <c r="B42" s="407"/>
      <c r="C42" s="911" t="s">
        <v>114</v>
      </c>
      <c r="D42" s="912"/>
      <c r="E42" s="446">
        <v>0</v>
      </c>
      <c r="F42" s="446">
        <f>HLOOKUP(F41,$E37:$M39,2)</f>
        <v>250</v>
      </c>
      <c r="G42" s="446">
        <f>HLOOKUP(G41,$E37:$M39,2)</f>
        <v>670</v>
      </c>
      <c r="H42" s="446">
        <f aca="true" t="shared" si="8" ref="H42:M42">HLOOKUP(H41,$E37:$M39,2)</f>
        <v>1294</v>
      </c>
      <c r="I42" s="446">
        <f t="shared" si="8"/>
        <v>1851</v>
      </c>
      <c r="J42" s="446">
        <f t="shared" si="8"/>
        <v>2417</v>
      </c>
      <c r="K42" s="446">
        <f t="shared" si="8"/>
        <v>3071</v>
      </c>
      <c r="L42" s="446">
        <f t="shared" si="8"/>
        <v>3750</v>
      </c>
      <c r="M42" s="446">
        <f t="shared" si="8"/>
        <v>3750</v>
      </c>
      <c r="N42" s="435"/>
      <c r="O42" s="419"/>
      <c r="P42" s="468"/>
      <c r="Q42" s="468"/>
      <c r="R42" s="419"/>
      <c r="S42" s="419"/>
      <c r="T42" s="419"/>
      <c r="U42" s="419"/>
    </row>
    <row r="43" spans="1:21" s="466" customFormat="1" ht="16.5" customHeight="1" hidden="1">
      <c r="A43" s="423"/>
      <c r="B43" s="407"/>
      <c r="C43" s="928" t="s">
        <v>115</v>
      </c>
      <c r="D43" s="929"/>
      <c r="E43" s="445">
        <f>HLOOKUP(E41,$E37:$M39,3)</f>
        <v>3.7</v>
      </c>
      <c r="F43" s="445">
        <f>HLOOKUP(F41,$E37:$M39,3)</f>
        <v>4.1</v>
      </c>
      <c r="G43" s="445">
        <f>HLOOKUP(G41,$E37:$M39,3)</f>
        <v>3.7</v>
      </c>
      <c r="H43" s="445">
        <f aca="true" t="shared" si="9" ref="H43:M43">HLOOKUP(H41,$E37:$M39,3)</f>
        <v>3</v>
      </c>
      <c r="I43" s="445">
        <f t="shared" si="9"/>
        <v>2</v>
      </c>
      <c r="J43" s="445">
        <f t="shared" si="9"/>
        <v>5</v>
      </c>
      <c r="K43" s="445">
        <f t="shared" si="9"/>
        <v>4.4</v>
      </c>
      <c r="L43" s="445">
        <f t="shared" si="9"/>
        <v>2</v>
      </c>
      <c r="M43" s="445">
        <f t="shared" si="9"/>
        <v>2</v>
      </c>
      <c r="N43" s="435"/>
      <c r="O43" s="419"/>
      <c r="P43" s="468"/>
      <c r="Q43" s="468"/>
      <c r="R43" s="419"/>
      <c r="S43" s="419"/>
      <c r="T43" s="419"/>
      <c r="U43" s="419"/>
    </row>
    <row r="44" spans="1:21" s="466" customFormat="1" ht="16.5" customHeight="1" hidden="1">
      <c r="A44" s="419"/>
      <c r="B44" s="429"/>
      <c r="C44" s="431"/>
      <c r="D44" s="431"/>
      <c r="E44" s="432"/>
      <c r="F44" s="432"/>
      <c r="G44" s="432"/>
      <c r="H44" s="432"/>
      <c r="I44" s="432"/>
      <c r="J44" s="432"/>
      <c r="K44" s="432"/>
      <c r="L44" s="432"/>
      <c r="M44" s="432"/>
      <c r="N44" s="434"/>
      <c r="O44" s="419"/>
      <c r="P44" s="468"/>
      <c r="Q44" s="468"/>
      <c r="R44" s="419"/>
      <c r="S44" s="419"/>
      <c r="T44" s="419"/>
      <c r="U44" s="419"/>
    </row>
    <row r="45" spans="1:21" s="466" customFormat="1" ht="10.5" customHeight="1">
      <c r="A45" s="419"/>
      <c r="B45" s="407"/>
      <c r="C45" s="402"/>
      <c r="D45" s="402"/>
      <c r="E45" s="438"/>
      <c r="F45" s="438"/>
      <c r="G45" s="438"/>
      <c r="H45" s="438"/>
      <c r="I45" s="438"/>
      <c r="J45" s="438"/>
      <c r="K45" s="438"/>
      <c r="L45" s="438"/>
      <c r="M45" s="438"/>
      <c r="N45" s="435"/>
      <c r="O45" s="419"/>
      <c r="P45" s="468"/>
      <c r="Q45" s="468"/>
      <c r="R45" s="419"/>
      <c r="S45" s="419"/>
      <c r="T45" s="419"/>
      <c r="U45" s="419"/>
    </row>
    <row r="46" spans="1:21" s="466" customFormat="1" ht="16.5" customHeight="1">
      <c r="A46" s="419"/>
      <c r="B46" s="407"/>
      <c r="C46" s="907" t="s">
        <v>202</v>
      </c>
      <c r="D46" s="907"/>
      <c r="E46" s="438"/>
      <c r="F46" s="917" t="s">
        <v>200</v>
      </c>
      <c r="G46" s="917"/>
      <c r="H46" s="494">
        <f>H10</f>
        <v>3850</v>
      </c>
      <c r="I46" s="494"/>
      <c r="J46" s="496" t="s">
        <v>201</v>
      </c>
      <c r="K46" s="494"/>
      <c r="L46" s="731">
        <v>4</v>
      </c>
      <c r="M46" s="438"/>
      <c r="N46" s="435"/>
      <c r="O46" s="419"/>
      <c r="P46" s="468"/>
      <c r="Q46" s="468"/>
      <c r="R46" s="419"/>
      <c r="S46" s="419"/>
      <c r="T46" s="419"/>
      <c r="U46" s="419"/>
    </row>
    <row r="47" spans="1:21" s="466" customFormat="1" ht="10.5" customHeight="1">
      <c r="A47" s="419"/>
      <c r="B47" s="407"/>
      <c r="C47" s="423"/>
      <c r="D47" s="423"/>
      <c r="E47" s="438"/>
      <c r="F47" s="438"/>
      <c r="G47" s="438"/>
      <c r="H47" s="438"/>
      <c r="I47" s="438"/>
      <c r="J47" s="438"/>
      <c r="K47" s="438"/>
      <c r="L47" s="438"/>
      <c r="M47" s="438"/>
      <c r="N47" s="435"/>
      <c r="O47" s="419"/>
      <c r="P47" s="468"/>
      <c r="Q47" s="468"/>
      <c r="R47" s="419"/>
      <c r="S47" s="419"/>
      <c r="T47" s="419"/>
      <c r="U47" s="419"/>
    </row>
    <row r="48" spans="1:21" s="466" customFormat="1" ht="16.5" customHeight="1">
      <c r="A48" s="419"/>
      <c r="B48" s="407"/>
      <c r="C48" s="909" t="s">
        <v>13</v>
      </c>
      <c r="D48" s="910"/>
      <c r="E48" s="484">
        <f aca="true" t="shared" si="10" ref="E48:M48">IF(E49="","",E41)</f>
        <v>302</v>
      </c>
      <c r="F48" s="484">
        <f t="shared" si="10"/>
        <v>303</v>
      </c>
      <c r="G48" s="484">
        <f t="shared" si="10"/>
        <v>304</v>
      </c>
      <c r="H48" s="484">
        <f t="shared" si="10"/>
        <v>305</v>
      </c>
      <c r="I48" s="484">
        <f t="shared" si="10"/>
        <v>306</v>
      </c>
      <c r="J48" s="484">
        <f t="shared" si="10"/>
        <v>307</v>
      </c>
      <c r="K48" s="484">
        <f t="shared" si="10"/>
        <v>308</v>
      </c>
      <c r="L48" s="484">
        <f t="shared" si="10"/>
        <v>309</v>
      </c>
      <c r="M48" s="484">
        <f t="shared" si="10"/>
      </c>
      <c r="N48" s="435"/>
      <c r="O48" s="419"/>
      <c r="P48" s="468"/>
      <c r="Q48" s="468"/>
      <c r="R48" s="419"/>
      <c r="S48" s="419"/>
      <c r="T48" s="419"/>
      <c r="U48" s="419"/>
    </row>
    <row r="49" spans="1:21" s="466" customFormat="1" ht="16.5" customHeight="1">
      <c r="A49" s="419"/>
      <c r="B49" s="407"/>
      <c r="C49" s="911" t="s">
        <v>114</v>
      </c>
      <c r="D49" s="912"/>
      <c r="E49" s="484">
        <f>E42</f>
        <v>0</v>
      </c>
      <c r="F49" s="484">
        <f>IF(E42=G42,"",F42)</f>
        <v>250</v>
      </c>
      <c r="G49" s="484">
        <f aca="true" t="shared" si="11" ref="G49:L49">IF(F42=H42,"",G42)</f>
        <v>670</v>
      </c>
      <c r="H49" s="484">
        <f t="shared" si="11"/>
        <v>1294</v>
      </c>
      <c r="I49" s="484">
        <f t="shared" si="11"/>
        <v>1851</v>
      </c>
      <c r="J49" s="484">
        <f t="shared" si="11"/>
        <v>2417</v>
      </c>
      <c r="K49" s="484">
        <f t="shared" si="11"/>
        <v>3071</v>
      </c>
      <c r="L49" s="484">
        <f t="shared" si="11"/>
        <v>3750</v>
      </c>
      <c r="M49" s="484">
        <f>IF(L42=M42,"",M42)</f>
      </c>
      <c r="N49" s="435"/>
      <c r="O49" s="419"/>
      <c r="P49" s="419"/>
      <c r="Q49" s="419"/>
      <c r="R49" s="419"/>
      <c r="S49" s="419"/>
      <c r="T49" s="419"/>
      <c r="U49" s="419"/>
    </row>
    <row r="50" spans="1:21" s="466" customFormat="1" ht="16.5" customHeight="1">
      <c r="A50" s="419"/>
      <c r="B50" s="407"/>
      <c r="C50" s="911" t="s">
        <v>115</v>
      </c>
      <c r="D50" s="912"/>
      <c r="E50" s="497">
        <f aca="true" t="shared" si="12" ref="E50:M50">IF(E49="","",E43)</f>
        <v>3.7</v>
      </c>
      <c r="F50" s="497">
        <f t="shared" si="12"/>
        <v>4.1</v>
      </c>
      <c r="G50" s="497">
        <f t="shared" si="12"/>
        <v>3.7</v>
      </c>
      <c r="H50" s="497">
        <f t="shared" si="12"/>
        <v>3</v>
      </c>
      <c r="I50" s="497">
        <f t="shared" si="12"/>
        <v>2</v>
      </c>
      <c r="J50" s="497">
        <f t="shared" si="12"/>
        <v>5</v>
      </c>
      <c r="K50" s="497">
        <f t="shared" si="12"/>
        <v>4.4</v>
      </c>
      <c r="L50" s="497">
        <f t="shared" si="12"/>
        <v>2</v>
      </c>
      <c r="M50" s="497">
        <f t="shared" si="12"/>
      </c>
      <c r="N50" s="435"/>
      <c r="O50" s="419"/>
      <c r="P50" s="419"/>
      <c r="Q50" s="419"/>
      <c r="R50" s="419"/>
      <c r="S50" s="419"/>
      <c r="T50" s="419"/>
      <c r="U50" s="419"/>
    </row>
    <row r="51" spans="1:21" s="466" customFormat="1" ht="13.5" customHeight="1" thickBot="1">
      <c r="A51" s="419"/>
      <c r="B51" s="447"/>
      <c r="C51" s="448"/>
      <c r="D51" s="448"/>
      <c r="E51" s="498"/>
      <c r="F51" s="449"/>
      <c r="G51" s="449"/>
      <c r="H51" s="450"/>
      <c r="I51" s="451"/>
      <c r="J51" s="451"/>
      <c r="K51" s="452"/>
      <c r="L51" s="918"/>
      <c r="M51" s="918"/>
      <c r="N51" s="453"/>
      <c r="O51" s="419"/>
      <c r="P51" s="419"/>
      <c r="Q51" s="419"/>
      <c r="R51" s="419"/>
      <c r="S51" s="419"/>
      <c r="T51" s="419"/>
      <c r="U51" s="419"/>
    </row>
    <row r="52" spans="1:21" s="466" customFormat="1" ht="15" customHeight="1">
      <c r="A52" s="419"/>
      <c r="B52" s="403"/>
      <c r="C52" s="454"/>
      <c r="D52" s="456"/>
      <c r="E52" s="458"/>
      <c r="F52" s="455"/>
      <c r="G52" s="406"/>
      <c r="H52" s="419"/>
      <c r="I52" s="456"/>
      <c r="J52" s="456"/>
      <c r="K52" s="457"/>
      <c r="L52" s="919"/>
      <c r="M52" s="919"/>
      <c r="N52" s="419"/>
      <c r="O52" s="419"/>
      <c r="P52" s="419"/>
      <c r="Q52" s="419"/>
      <c r="R52" s="419"/>
      <c r="S52" s="419"/>
      <c r="T52" s="419"/>
      <c r="U52" s="419"/>
    </row>
    <row r="53" spans="1:21" s="466" customFormat="1" ht="15" customHeight="1">
      <c r="A53" s="419"/>
      <c r="B53" s="403"/>
      <c r="C53" s="419"/>
      <c r="D53" s="419"/>
      <c r="E53" s="458"/>
      <c r="F53" s="419"/>
      <c r="G53" s="455"/>
      <c r="H53" s="419"/>
      <c r="I53" s="456"/>
      <c r="J53" s="456"/>
      <c r="K53" s="457"/>
      <c r="L53" s="919"/>
      <c r="M53" s="919"/>
      <c r="N53" s="419"/>
      <c r="O53" s="419"/>
      <c r="P53" s="419"/>
      <c r="Q53" s="419"/>
      <c r="R53" s="419"/>
      <c r="S53" s="419"/>
      <c r="T53" s="419"/>
      <c r="U53" s="419"/>
    </row>
    <row r="54" spans="1:21" s="466" customFormat="1" ht="15" customHeight="1">
      <c r="A54" s="419"/>
      <c r="B54" s="403"/>
      <c r="C54" s="921"/>
      <c r="D54" s="921"/>
      <c r="E54" s="921"/>
      <c r="F54" s="921"/>
      <c r="G54" s="921"/>
      <c r="H54" s="921"/>
      <c r="I54" s="921"/>
      <c r="J54" s="921"/>
      <c r="K54" s="920"/>
      <c r="L54" s="920"/>
      <c r="M54" s="920"/>
      <c r="N54" s="920"/>
      <c r="O54" s="419"/>
      <c r="P54" s="419"/>
      <c r="Q54" s="419"/>
      <c r="R54" s="419"/>
      <c r="S54" s="419"/>
      <c r="T54" s="419"/>
      <c r="U54" s="419"/>
    </row>
    <row r="55" spans="1:21" s="466" customFormat="1" ht="12.75" customHeight="1">
      <c r="A55" s="419"/>
      <c r="B55" s="403"/>
      <c r="C55" s="921"/>
      <c r="D55" s="921"/>
      <c r="E55" s="921"/>
      <c r="F55" s="921"/>
      <c r="G55" s="921"/>
      <c r="H55" s="921"/>
      <c r="I55" s="921"/>
      <c r="J55" s="921"/>
      <c r="K55" s="403"/>
      <c r="L55" s="919"/>
      <c r="M55" s="919"/>
      <c r="N55" s="919"/>
      <c r="O55" s="419"/>
      <c r="P55" s="419"/>
      <c r="Q55" s="419"/>
      <c r="R55" s="419"/>
      <c r="S55" s="419"/>
      <c r="T55" s="419"/>
      <c r="U55" s="419"/>
    </row>
    <row r="56" spans="1:21" s="466" customFormat="1" ht="14.25" customHeight="1">
      <c r="A56" s="419"/>
      <c r="B56" s="403"/>
      <c r="C56" s="921"/>
      <c r="D56" s="921"/>
      <c r="E56" s="922"/>
      <c r="F56" s="922"/>
      <c r="G56" s="921"/>
      <c r="H56" s="921"/>
      <c r="I56" s="922"/>
      <c r="J56" s="922"/>
      <c r="K56" s="419"/>
      <c r="L56" s="419"/>
      <c r="M56" s="419"/>
      <c r="N56" s="419"/>
      <c r="O56" s="419"/>
      <c r="P56" s="419"/>
      <c r="Q56" s="419"/>
      <c r="R56" s="419"/>
      <c r="S56" s="419"/>
      <c r="T56" s="419"/>
      <c r="U56" s="419"/>
    </row>
    <row r="57" spans="1:21" s="466" customFormat="1" ht="14.25" customHeight="1">
      <c r="A57" s="419"/>
      <c r="B57" s="459"/>
      <c r="C57" s="460"/>
      <c r="D57" s="461"/>
      <c r="E57" s="461"/>
      <c r="F57" s="461"/>
      <c r="G57" s="461"/>
      <c r="H57" s="461"/>
      <c r="I57" s="461"/>
      <c r="J57" s="461"/>
      <c r="K57" s="461"/>
      <c r="L57" s="461"/>
      <c r="M57" s="461"/>
      <c r="N57" s="462"/>
      <c r="O57" s="405"/>
      <c r="P57" s="419"/>
      <c r="Q57" s="403"/>
      <c r="R57" s="405"/>
      <c r="S57" s="405"/>
      <c r="T57" s="419"/>
      <c r="U57" s="419"/>
    </row>
    <row r="58" spans="1:21" s="499" customFormat="1" ht="6" customHeight="1">
      <c r="A58" s="461"/>
      <c r="B58" s="463"/>
      <c r="C58" s="460"/>
      <c r="D58" s="924"/>
      <c r="E58" s="924"/>
      <c r="F58" s="924"/>
      <c r="G58" s="924"/>
      <c r="H58" s="924"/>
      <c r="I58" s="924"/>
      <c r="J58" s="924"/>
      <c r="K58" s="924"/>
      <c r="L58" s="924"/>
      <c r="M58" s="924"/>
      <c r="N58" s="463"/>
      <c r="O58" s="461"/>
      <c r="P58" s="464"/>
      <c r="Q58" s="923"/>
      <c r="R58" s="923"/>
      <c r="S58" s="923"/>
      <c r="T58" s="461"/>
      <c r="U58" s="461"/>
    </row>
    <row r="59" spans="1:21" s="500" customFormat="1" ht="18" customHeight="1">
      <c r="A59" s="465"/>
      <c r="B59" s="463"/>
      <c r="C59" s="460"/>
      <c r="D59" s="924"/>
      <c r="E59" s="924"/>
      <c r="F59" s="924"/>
      <c r="G59" s="924"/>
      <c r="H59" s="924"/>
      <c r="I59" s="924"/>
      <c r="J59" s="924"/>
      <c r="K59" s="924"/>
      <c r="L59" s="924"/>
      <c r="M59" s="924"/>
      <c r="N59" s="463"/>
      <c r="O59" s="463"/>
      <c r="P59" s="463"/>
      <c r="Q59" s="924"/>
      <c r="R59" s="924"/>
      <c r="S59" s="465"/>
      <c r="T59" s="465"/>
      <c r="U59" s="465"/>
    </row>
    <row r="60" spans="1:21" s="500" customFormat="1" ht="18" customHeight="1">
      <c r="A60" s="465"/>
      <c r="B60" s="463"/>
      <c r="C60" s="460"/>
      <c r="D60" s="463"/>
      <c r="E60" s="463"/>
      <c r="F60" s="463"/>
      <c r="G60" s="463"/>
      <c r="H60" s="463"/>
      <c r="I60" s="463"/>
      <c r="J60" s="463"/>
      <c r="K60" s="463"/>
      <c r="L60" s="463"/>
      <c r="M60" s="463"/>
      <c r="N60" s="463"/>
      <c r="O60" s="463"/>
      <c r="P60" s="463"/>
      <c r="Q60" s="463"/>
      <c r="R60" s="463"/>
      <c r="S60" s="465"/>
      <c r="T60" s="465"/>
      <c r="U60" s="465"/>
    </row>
    <row r="61" spans="1:21" s="500" customFormat="1" ht="18" customHeight="1">
      <c r="A61" s="465"/>
      <c r="B61" s="463"/>
      <c r="C61" s="465"/>
      <c r="D61" s="924"/>
      <c r="E61" s="924"/>
      <c r="F61" s="924"/>
      <c r="G61" s="924"/>
      <c r="H61" s="924"/>
      <c r="I61" s="924"/>
      <c r="J61" s="924"/>
      <c r="K61" s="924"/>
      <c r="L61" s="924"/>
      <c r="M61" s="924"/>
      <c r="N61" s="465"/>
      <c r="O61" s="463"/>
      <c r="P61" s="463"/>
      <c r="Q61" s="463"/>
      <c r="R61" s="463"/>
      <c r="S61" s="465"/>
      <c r="T61" s="465"/>
      <c r="U61" s="465"/>
    </row>
    <row r="62" spans="1:21" s="500" customFormat="1" ht="18" customHeight="1">
      <c r="A62" s="465"/>
      <c r="B62" s="459"/>
      <c r="C62" s="461"/>
      <c r="D62" s="461"/>
      <c r="E62" s="461"/>
      <c r="F62" s="461"/>
      <c r="G62" s="461"/>
      <c r="H62" s="461"/>
      <c r="I62" s="461"/>
      <c r="J62" s="461"/>
      <c r="K62" s="461"/>
      <c r="L62" s="461"/>
      <c r="M62" s="461"/>
      <c r="N62" s="461"/>
      <c r="O62" s="465"/>
      <c r="P62" s="465"/>
      <c r="Q62" s="465"/>
      <c r="R62" s="465"/>
      <c r="S62" s="397"/>
      <c r="T62" s="397"/>
      <c r="U62" s="465"/>
    </row>
    <row r="63" spans="1:21" s="499" customFormat="1" ht="6" customHeight="1">
      <c r="A63" s="461"/>
      <c r="B63" s="501"/>
      <c r="C63" s="462"/>
      <c r="D63" s="462"/>
      <c r="E63" s="462"/>
      <c r="F63" s="462"/>
      <c r="G63" s="462"/>
      <c r="H63" s="502"/>
      <c r="I63" s="503"/>
      <c r="J63" s="503"/>
      <c r="K63" s="503"/>
      <c r="L63" s="503"/>
      <c r="M63" s="503"/>
      <c r="N63" s="503"/>
      <c r="O63" s="461"/>
      <c r="P63" s="461"/>
      <c r="Q63" s="461"/>
      <c r="R63" s="461"/>
      <c r="S63" s="398"/>
      <c r="T63" s="398"/>
      <c r="U63" s="461"/>
    </row>
    <row r="64" spans="6:21" ht="12.75" customHeight="1">
      <c r="F64" s="462"/>
      <c r="G64" s="462"/>
      <c r="H64" s="459"/>
      <c r="I64" s="505"/>
      <c r="J64" s="925"/>
      <c r="K64" s="925"/>
      <c r="L64" s="503"/>
      <c r="M64" s="503"/>
      <c r="N64" s="503"/>
      <c r="O64" s="503"/>
      <c r="P64" s="503"/>
      <c r="Q64" s="503"/>
      <c r="R64" s="462"/>
      <c r="S64" s="506"/>
      <c r="T64" s="506"/>
      <c r="U64" s="462"/>
    </row>
    <row r="65" spans="6:20" ht="12.75" customHeight="1">
      <c r="F65" s="462"/>
      <c r="G65" s="462"/>
      <c r="H65" s="459"/>
      <c r="I65" s="503"/>
      <c r="J65" s="503"/>
      <c r="K65" s="503"/>
      <c r="O65" s="503"/>
      <c r="P65" s="503"/>
      <c r="Q65" s="503"/>
      <c r="R65" s="462"/>
      <c r="S65" s="506"/>
      <c r="T65" s="506"/>
    </row>
    <row r="66" spans="11:20" ht="12.75" customHeight="1">
      <c r="K66" s="462"/>
      <c r="O66" s="503"/>
      <c r="P66" s="503"/>
      <c r="Q66" s="503"/>
      <c r="R66" s="462"/>
      <c r="S66" s="506"/>
      <c r="T66" s="506"/>
    </row>
    <row r="67" spans="11:20" ht="12.75" customHeight="1">
      <c r="K67" s="462"/>
      <c r="L67" s="462"/>
      <c r="M67" s="462"/>
      <c r="N67" s="462"/>
      <c r="P67" s="462"/>
      <c r="Q67" s="462"/>
      <c r="R67" s="462"/>
      <c r="S67" s="462"/>
      <c r="T67" s="462"/>
    </row>
    <row r="68" spans="8:20" ht="12.75" customHeight="1">
      <c r="H68" s="462"/>
      <c r="I68" s="462"/>
      <c r="J68" s="462"/>
      <c r="K68" s="462"/>
      <c r="L68" s="462"/>
      <c r="M68" s="462"/>
      <c r="N68" s="462"/>
      <c r="P68" s="507"/>
      <c r="Q68" s="462"/>
      <c r="R68" s="462"/>
      <c r="S68" s="462"/>
      <c r="T68" s="462"/>
    </row>
    <row r="69" spans="8:20" ht="13.5" customHeight="1">
      <c r="H69" s="508"/>
      <c r="I69" s="509"/>
      <c r="J69" s="462"/>
      <c r="K69" s="462"/>
      <c r="L69" s="462"/>
      <c r="M69" s="510"/>
      <c r="N69" s="510"/>
      <c r="P69" s="462"/>
      <c r="Q69" s="462"/>
      <c r="R69" s="462"/>
      <c r="S69" s="462"/>
      <c r="T69" s="462"/>
    </row>
    <row r="70" spans="8:20" ht="15.75" customHeight="1">
      <c r="H70" s="462"/>
      <c r="I70" s="462"/>
      <c r="J70" s="462"/>
      <c r="K70" s="462"/>
      <c r="L70" s="462"/>
      <c r="M70" s="462"/>
      <c r="N70" s="462"/>
      <c r="O70" s="510"/>
      <c r="P70" s="462"/>
      <c r="Q70" s="462"/>
      <c r="R70" s="462"/>
      <c r="S70" s="462"/>
      <c r="T70" s="462"/>
    </row>
    <row r="71" spans="8:20" ht="18">
      <c r="H71" s="463"/>
      <c r="I71" s="511"/>
      <c r="J71" s="465"/>
      <c r="K71" s="463"/>
      <c r="L71" s="463"/>
      <c r="M71" s="465"/>
      <c r="N71" s="512"/>
      <c r="P71" s="462"/>
      <c r="Q71" s="462"/>
      <c r="R71" s="462"/>
      <c r="S71" s="462"/>
      <c r="T71" s="462"/>
    </row>
    <row r="72" spans="16:20" ht="18">
      <c r="P72" s="513"/>
      <c r="Q72" s="465"/>
      <c r="R72" s="465"/>
      <c r="S72" s="465"/>
      <c r="T72" s="465"/>
    </row>
    <row r="187" spans="8:14" ht="12.75">
      <c r="H187" s="462"/>
      <c r="I187" s="514"/>
      <c r="J187" s="514"/>
      <c r="K187" s="515"/>
      <c r="L187" s="515"/>
      <c r="M187" s="515"/>
      <c r="N187" s="515"/>
    </row>
    <row r="188" spans="8:20" ht="12.75">
      <c r="H188" s="462"/>
      <c r="I188" s="462"/>
      <c r="J188" s="462"/>
      <c r="K188" s="462"/>
      <c r="L188" s="462"/>
      <c r="M188" s="462"/>
      <c r="N188" s="462"/>
      <c r="O188" s="515"/>
      <c r="P188" s="515"/>
      <c r="Q188" s="462"/>
      <c r="R188" s="462"/>
      <c r="S188" s="462"/>
      <c r="T188" s="462"/>
    </row>
    <row r="189" spans="8:20" ht="12.75">
      <c r="H189" s="462"/>
      <c r="I189" s="462"/>
      <c r="J189" s="462"/>
      <c r="K189" s="460"/>
      <c r="L189" s="460"/>
      <c r="M189" s="460"/>
      <c r="N189" s="460"/>
      <c r="P189" s="462"/>
      <c r="Q189" s="462"/>
      <c r="R189" s="462"/>
      <c r="S189" s="462"/>
      <c r="T189" s="462"/>
    </row>
    <row r="190" spans="8:20" ht="12.75">
      <c r="H190" s="460"/>
      <c r="I190" s="460"/>
      <c r="J190" s="503"/>
      <c r="K190" s="460"/>
      <c r="L190" s="460"/>
      <c r="M190" s="460"/>
      <c r="N190" s="460"/>
      <c r="O190" s="460"/>
      <c r="P190" s="460"/>
      <c r="Q190" s="460"/>
      <c r="R190" s="462"/>
      <c r="S190" s="462"/>
      <c r="T190" s="462"/>
    </row>
    <row r="191" spans="8:20" ht="12.75">
      <c r="H191" s="462"/>
      <c r="I191" s="462"/>
      <c r="J191" s="462"/>
      <c r="K191" s="501"/>
      <c r="L191" s="501"/>
      <c r="M191" s="516"/>
      <c r="N191" s="462"/>
      <c r="O191" s="503"/>
      <c r="P191" s="517"/>
      <c r="Q191" s="517"/>
      <c r="R191" s="517"/>
      <c r="S191" s="517"/>
      <c r="T191" s="517"/>
    </row>
    <row r="192" spans="8:20" ht="12.75">
      <c r="H192" s="501"/>
      <c r="I192" s="501"/>
      <c r="J192" s="518"/>
      <c r="K192" s="518"/>
      <c r="L192" s="518"/>
      <c r="M192" s="519"/>
      <c r="N192" s="501"/>
      <c r="P192" s="520"/>
      <c r="Q192" s="521"/>
      <c r="R192" s="520"/>
      <c r="S192" s="520"/>
      <c r="T192" s="520"/>
    </row>
    <row r="193" spans="8:20" ht="12.75">
      <c r="H193" s="501"/>
      <c r="I193" s="501"/>
      <c r="J193" s="518"/>
      <c r="K193" s="501"/>
      <c r="L193" s="518"/>
      <c r="M193" s="462"/>
      <c r="N193" s="501"/>
      <c r="O193" s="501"/>
      <c r="P193" s="520"/>
      <c r="Q193" s="522"/>
      <c r="R193" s="518"/>
      <c r="S193" s="518"/>
      <c r="T193" s="518"/>
    </row>
    <row r="194" spans="8:20" ht="12.75">
      <c r="H194" s="460"/>
      <c r="I194" s="523"/>
      <c r="J194" s="518"/>
      <c r="K194" s="515"/>
      <c r="L194" s="518"/>
      <c r="M194" s="462"/>
      <c r="N194" s="501"/>
      <c r="O194" s="501"/>
      <c r="P194" s="520"/>
      <c r="Q194" s="522"/>
      <c r="R194" s="462"/>
      <c r="S194" s="462"/>
      <c r="T194" s="462"/>
    </row>
    <row r="195" spans="8:20" ht="12.75">
      <c r="H195" s="460"/>
      <c r="I195" s="460"/>
      <c r="J195" s="518"/>
      <c r="K195" s="515"/>
      <c r="L195" s="518"/>
      <c r="M195" s="462"/>
      <c r="N195" s="501"/>
      <c r="O195" s="501"/>
      <c r="P195" s="520"/>
      <c r="Q195" s="522"/>
      <c r="R195" s="462"/>
      <c r="S195" s="462"/>
      <c r="T195" s="462"/>
    </row>
    <row r="196" spans="8:20" ht="12.75">
      <c r="H196" s="501"/>
      <c r="I196" s="501"/>
      <c r="J196" s="518"/>
      <c r="K196" s="518"/>
      <c r="L196" s="518"/>
      <c r="M196" s="519"/>
      <c r="N196" s="501"/>
      <c r="O196" s="501"/>
      <c r="P196" s="520"/>
      <c r="Q196" s="522"/>
      <c r="R196" s="462"/>
      <c r="S196" s="462"/>
      <c r="T196" s="462"/>
    </row>
    <row r="197" spans="8:20" ht="12.75">
      <c r="H197" s="501"/>
      <c r="I197" s="501"/>
      <c r="J197" s="518"/>
      <c r="K197" s="501"/>
      <c r="L197" s="518"/>
      <c r="M197" s="462"/>
      <c r="N197" s="501"/>
      <c r="O197" s="501"/>
      <c r="P197" s="520"/>
      <c r="Q197" s="522"/>
      <c r="R197" s="462"/>
      <c r="S197" s="462"/>
      <c r="T197" s="462"/>
    </row>
    <row r="198" spans="8:20" ht="12.75">
      <c r="H198" s="523"/>
      <c r="I198" s="523"/>
      <c r="J198" s="518"/>
      <c r="K198" s="515"/>
      <c r="L198" s="518"/>
      <c r="M198" s="516"/>
      <c r="N198" s="501"/>
      <c r="O198" s="501"/>
      <c r="P198" s="520"/>
      <c r="Q198" s="522"/>
      <c r="R198" s="462"/>
      <c r="S198" s="462"/>
      <c r="T198" s="462"/>
    </row>
    <row r="199" spans="8:20" ht="12.75">
      <c r="H199" s="501"/>
      <c r="I199" s="460"/>
      <c r="J199" s="518"/>
      <c r="K199" s="515"/>
      <c r="L199" s="518"/>
      <c r="M199" s="462"/>
      <c r="N199" s="501"/>
      <c r="O199" s="501"/>
      <c r="P199" s="520"/>
      <c r="Q199" s="522"/>
      <c r="R199" s="462"/>
      <c r="S199" s="462"/>
      <c r="T199" s="462"/>
    </row>
    <row r="200" spans="8:20" ht="12.75">
      <c r="H200" s="501"/>
      <c r="I200" s="501"/>
      <c r="J200" s="518"/>
      <c r="K200" s="518"/>
      <c r="L200" s="518"/>
      <c r="M200" s="519"/>
      <c r="N200" s="501"/>
      <c r="O200" s="501"/>
      <c r="P200" s="520"/>
      <c r="Q200" s="522"/>
      <c r="R200" s="462"/>
      <c r="S200" s="462"/>
      <c r="T200" s="462"/>
    </row>
    <row r="201" spans="8:20" ht="12.75">
      <c r="H201" s="501"/>
      <c r="I201" s="501"/>
      <c r="J201" s="518"/>
      <c r="K201" s="501"/>
      <c r="L201" s="518"/>
      <c r="M201" s="462"/>
      <c r="N201" s="501"/>
      <c r="O201" s="501"/>
      <c r="P201" s="520"/>
      <c r="Q201" s="522"/>
      <c r="R201" s="462"/>
      <c r="S201" s="462"/>
      <c r="T201" s="462"/>
    </row>
    <row r="202" spans="8:20" ht="12.75">
      <c r="H202" s="523"/>
      <c r="I202" s="523"/>
      <c r="J202" s="518"/>
      <c r="K202" s="515"/>
      <c r="L202" s="518"/>
      <c r="M202" s="462"/>
      <c r="N202" s="501"/>
      <c r="O202" s="501"/>
      <c r="P202" s="520"/>
      <c r="Q202" s="522"/>
      <c r="R202" s="462"/>
      <c r="S202" s="462"/>
      <c r="T202" s="462"/>
    </row>
    <row r="203" spans="8:20" ht="12.75">
      <c r="H203" s="501"/>
      <c r="I203" s="460"/>
      <c r="J203" s="518"/>
      <c r="K203" s="515"/>
      <c r="L203" s="518"/>
      <c r="M203" s="462"/>
      <c r="N203" s="501"/>
      <c r="O203" s="501"/>
      <c r="P203" s="520"/>
      <c r="Q203" s="522"/>
      <c r="R203" s="462"/>
      <c r="S203" s="462"/>
      <c r="T203" s="462"/>
    </row>
    <row r="204" spans="8:20" ht="12.75">
      <c r="H204" s="501"/>
      <c r="I204" s="501"/>
      <c r="J204" s="518"/>
      <c r="K204" s="518"/>
      <c r="L204" s="518"/>
      <c r="M204" s="519"/>
      <c r="N204" s="501"/>
      <c r="O204" s="501"/>
      <c r="P204" s="520"/>
      <c r="Q204" s="522"/>
      <c r="R204" s="462"/>
      <c r="S204" s="462"/>
      <c r="T204" s="462"/>
    </row>
    <row r="205" spans="8:20" ht="12.75">
      <c r="H205" s="501"/>
      <c r="I205" s="501"/>
      <c r="J205" s="518"/>
      <c r="K205" s="501"/>
      <c r="L205" s="518"/>
      <c r="M205" s="462"/>
      <c r="N205" s="501"/>
      <c r="O205" s="501"/>
      <c r="P205" s="520"/>
      <c r="Q205" s="522"/>
      <c r="R205" s="462"/>
      <c r="S205" s="462"/>
      <c r="T205" s="462"/>
    </row>
    <row r="206" spans="8:20" ht="12.75">
      <c r="H206" s="523"/>
      <c r="I206" s="523"/>
      <c r="J206" s="518"/>
      <c r="K206" s="515"/>
      <c r="L206" s="518"/>
      <c r="M206" s="516"/>
      <c r="N206" s="501"/>
      <c r="O206" s="501"/>
      <c r="P206" s="520"/>
      <c r="Q206" s="522"/>
      <c r="R206" s="462"/>
      <c r="S206" s="462"/>
      <c r="T206" s="462"/>
    </row>
    <row r="207" spans="8:20" ht="12.75">
      <c r="H207" s="501"/>
      <c r="I207" s="462"/>
      <c r="J207" s="462"/>
      <c r="K207" s="515"/>
      <c r="L207" s="518"/>
      <c r="M207" s="462"/>
      <c r="N207" s="501"/>
      <c r="O207" s="501"/>
      <c r="P207" s="520"/>
      <c r="Q207" s="522"/>
      <c r="R207" s="462"/>
      <c r="S207" s="462"/>
      <c r="T207" s="462"/>
    </row>
    <row r="208" spans="8:20" ht="12.75">
      <c r="H208" s="501"/>
      <c r="I208" s="501"/>
      <c r="J208" s="518"/>
      <c r="K208" s="518"/>
      <c r="L208" s="518"/>
      <c r="M208" s="519"/>
      <c r="N208" s="501"/>
      <c r="O208" s="501"/>
      <c r="P208" s="520"/>
      <c r="Q208" s="522"/>
      <c r="R208" s="462"/>
      <c r="S208" s="462"/>
      <c r="T208" s="462"/>
    </row>
    <row r="209" spans="8:20" ht="12.75">
      <c r="H209" s="501"/>
      <c r="I209" s="501"/>
      <c r="J209" s="518"/>
      <c r="K209" s="501"/>
      <c r="L209" s="518"/>
      <c r="M209" s="462"/>
      <c r="N209" s="501"/>
      <c r="O209" s="501"/>
      <c r="P209" s="520"/>
      <c r="Q209" s="522"/>
      <c r="R209" s="462"/>
      <c r="S209" s="462"/>
      <c r="T209" s="462"/>
    </row>
    <row r="210" spans="8:20" ht="12.75">
      <c r="H210" s="523"/>
      <c r="I210" s="523"/>
      <c r="J210" s="518"/>
      <c r="K210" s="515"/>
      <c r="L210" s="518"/>
      <c r="M210" s="462"/>
      <c r="N210" s="501"/>
      <c r="O210" s="501"/>
      <c r="P210" s="520"/>
      <c r="Q210" s="522"/>
      <c r="R210" s="462"/>
      <c r="S210" s="462"/>
      <c r="T210" s="462"/>
    </row>
    <row r="211" spans="8:20" ht="12.75">
      <c r="H211" s="501"/>
      <c r="I211" s="460"/>
      <c r="J211" s="518"/>
      <c r="K211" s="515"/>
      <c r="L211" s="518"/>
      <c r="M211" s="462"/>
      <c r="N211" s="501"/>
      <c r="O211" s="501"/>
      <c r="P211" s="520"/>
      <c r="Q211" s="522"/>
      <c r="R211" s="462"/>
      <c r="S211" s="462"/>
      <c r="T211" s="462"/>
    </row>
    <row r="212" spans="8:20" ht="12.75">
      <c r="H212" s="501"/>
      <c r="I212" s="501"/>
      <c r="J212" s="518"/>
      <c r="K212" s="518"/>
      <c r="L212" s="518"/>
      <c r="M212" s="519"/>
      <c r="N212" s="501"/>
      <c r="O212" s="501"/>
      <c r="P212" s="520"/>
      <c r="Q212" s="522"/>
      <c r="R212" s="462"/>
      <c r="S212" s="462"/>
      <c r="T212" s="462"/>
    </row>
    <row r="213" spans="8:20" ht="12.75">
      <c r="H213" s="501"/>
      <c r="I213" s="501"/>
      <c r="J213" s="518"/>
      <c r="K213" s="501"/>
      <c r="L213" s="518"/>
      <c r="M213" s="462"/>
      <c r="N213" s="501"/>
      <c r="O213" s="501"/>
      <c r="P213" s="520"/>
      <c r="Q213" s="522"/>
      <c r="R213" s="462"/>
      <c r="S213" s="462"/>
      <c r="T213" s="462"/>
    </row>
    <row r="214" spans="8:20" ht="12.75">
      <c r="H214" s="523"/>
      <c r="I214" s="523"/>
      <c r="J214" s="518"/>
      <c r="K214" s="515"/>
      <c r="L214" s="518"/>
      <c r="M214" s="462"/>
      <c r="N214" s="501"/>
      <c r="O214" s="501"/>
      <c r="P214" s="520"/>
      <c r="Q214" s="522"/>
      <c r="R214" s="462"/>
      <c r="S214" s="462"/>
      <c r="T214" s="462"/>
    </row>
    <row r="215" spans="8:20" ht="12.75">
      <c r="H215" s="501"/>
      <c r="I215" s="460"/>
      <c r="J215" s="518"/>
      <c r="K215" s="515"/>
      <c r="L215" s="518"/>
      <c r="M215" s="501"/>
      <c r="N215" s="501"/>
      <c r="O215" s="501"/>
      <c r="P215" s="520"/>
      <c r="Q215" s="522"/>
      <c r="R215" s="462"/>
      <c r="S215" s="462"/>
      <c r="T215" s="462"/>
    </row>
    <row r="216" spans="8:20" ht="12.75">
      <c r="H216" s="501"/>
      <c r="I216" s="501"/>
      <c r="J216" s="518"/>
      <c r="K216" s="518"/>
      <c r="L216" s="518"/>
      <c r="M216" s="519"/>
      <c r="N216" s="501"/>
      <c r="O216" s="501"/>
      <c r="P216" s="520"/>
      <c r="Q216" s="522"/>
      <c r="R216" s="462"/>
      <c r="S216" s="462"/>
      <c r="T216" s="462"/>
    </row>
    <row r="217" spans="8:20" ht="12.75">
      <c r="H217" s="501"/>
      <c r="I217" s="501"/>
      <c r="J217" s="518"/>
      <c r="K217" s="501"/>
      <c r="L217" s="518"/>
      <c r="M217" s="462"/>
      <c r="N217" s="501"/>
      <c r="O217" s="501"/>
      <c r="P217" s="520"/>
      <c r="Q217" s="522"/>
      <c r="R217" s="462"/>
      <c r="S217" s="462"/>
      <c r="T217" s="462"/>
    </row>
    <row r="218" spans="8:20" ht="12.75">
      <c r="H218" s="523"/>
      <c r="I218" s="523"/>
      <c r="J218" s="518"/>
      <c r="K218" s="515"/>
      <c r="L218" s="518"/>
      <c r="M218" s="515"/>
      <c r="N218" s="501"/>
      <c r="O218" s="501"/>
      <c r="P218" s="520"/>
      <c r="Q218" s="522"/>
      <c r="R218" s="462"/>
      <c r="S218" s="462"/>
      <c r="T218" s="462"/>
    </row>
    <row r="219" spans="8:20" ht="12.75">
      <c r="H219" s="462"/>
      <c r="I219" s="462"/>
      <c r="J219" s="462"/>
      <c r="K219" s="462"/>
      <c r="L219" s="462"/>
      <c r="M219" s="462"/>
      <c r="N219" s="462"/>
      <c r="O219" s="501"/>
      <c r="P219" s="520"/>
      <c r="Q219" s="522"/>
      <c r="R219" s="462"/>
      <c r="S219" s="462"/>
      <c r="T219" s="462"/>
    </row>
    <row r="220" spans="8:20" ht="12.75">
      <c r="H220" s="462"/>
      <c r="I220" s="503"/>
      <c r="J220" s="518"/>
      <c r="K220" s="503"/>
      <c r="L220" s="518"/>
      <c r="M220" s="462"/>
      <c r="N220" s="524"/>
      <c r="P220" s="462"/>
      <c r="Q220" s="462"/>
      <c r="R220" s="462"/>
      <c r="S220" s="462"/>
      <c r="T220" s="462"/>
    </row>
    <row r="221" spans="8:20" ht="12.75">
      <c r="H221" s="462"/>
      <c r="I221" s="462"/>
      <c r="J221" s="462"/>
      <c r="K221" s="462"/>
      <c r="L221" s="462"/>
      <c r="M221" s="462"/>
      <c r="N221" s="462"/>
      <c r="O221" s="501"/>
      <c r="P221" s="462"/>
      <c r="Q221" s="525"/>
      <c r="R221" s="462"/>
      <c r="S221" s="462"/>
      <c r="T221" s="462"/>
    </row>
    <row r="222" spans="8:20" ht="12.75">
      <c r="H222" s="462"/>
      <c r="I222" s="503"/>
      <c r="J222" s="462"/>
      <c r="K222" s="462"/>
      <c r="L222" s="462"/>
      <c r="M222" s="462"/>
      <c r="N222" s="462"/>
      <c r="P222" s="462"/>
      <c r="Q222" s="462"/>
      <c r="R222" s="462"/>
      <c r="S222" s="462"/>
      <c r="T222" s="462"/>
    </row>
    <row r="223" spans="8:20" ht="12.75">
      <c r="H223" s="462"/>
      <c r="I223" s="462"/>
      <c r="J223" s="462"/>
      <c r="K223" s="462"/>
      <c r="L223" s="462"/>
      <c r="M223" s="462"/>
      <c r="N223" s="462"/>
      <c r="O223" s="507"/>
      <c r="P223" s="462"/>
      <c r="Q223" s="462"/>
      <c r="R223" s="462"/>
      <c r="S223" s="462"/>
      <c r="T223" s="462"/>
    </row>
    <row r="224" spans="8:20" ht="12.75">
      <c r="H224" s="462"/>
      <c r="I224" s="462"/>
      <c r="J224" s="462"/>
      <c r="K224" s="462"/>
      <c r="L224" s="462"/>
      <c r="M224" s="462"/>
      <c r="N224" s="462"/>
      <c r="P224" s="462"/>
      <c r="Q224" s="462"/>
      <c r="R224" s="462"/>
      <c r="S224" s="462"/>
      <c r="T224" s="462"/>
    </row>
    <row r="225" spans="8:20" ht="30">
      <c r="H225" s="526"/>
      <c r="I225" s="509"/>
      <c r="J225" s="462"/>
      <c r="K225" s="462"/>
      <c r="L225" s="462"/>
      <c r="M225" s="510"/>
      <c r="N225" s="510"/>
      <c r="P225" s="462"/>
      <c r="Q225" s="462"/>
      <c r="R225" s="462"/>
      <c r="S225" s="462"/>
      <c r="T225" s="462"/>
    </row>
    <row r="226" spans="8:20" ht="30">
      <c r="H226" s="462"/>
      <c r="I226" s="462"/>
      <c r="J226" s="462"/>
      <c r="K226" s="462"/>
      <c r="L226" s="462"/>
      <c r="M226" s="462"/>
      <c r="N226" s="462"/>
      <c r="O226" s="510"/>
      <c r="P226" s="462"/>
      <c r="Q226" s="462"/>
      <c r="R226" s="462"/>
      <c r="S226" s="462"/>
      <c r="T226" s="462"/>
    </row>
    <row r="227" spans="8:20" ht="12.75">
      <c r="H227" s="501"/>
      <c r="I227" s="501"/>
      <c r="J227" s="462"/>
      <c r="K227" s="501"/>
      <c r="L227" s="501"/>
      <c r="M227" s="462"/>
      <c r="N227" s="527"/>
      <c r="P227" s="462"/>
      <c r="Q227" s="462"/>
      <c r="R227" s="462"/>
      <c r="S227" s="462"/>
      <c r="T227" s="462"/>
    </row>
    <row r="228" spans="8:20" ht="12.75">
      <c r="H228" s="501"/>
      <c r="I228" s="501"/>
      <c r="J228" s="501"/>
      <c r="K228" s="501"/>
      <c r="L228" s="527"/>
      <c r="M228" s="528"/>
      <c r="N228" s="462"/>
      <c r="O228" s="528"/>
      <c r="P228" s="462"/>
      <c r="Q228" s="462"/>
      <c r="R228" s="462"/>
      <c r="S228" s="462"/>
      <c r="T228" s="462"/>
    </row>
    <row r="229" spans="8:20" ht="12.75">
      <c r="H229" s="460"/>
      <c r="I229" s="462"/>
      <c r="J229" s="527"/>
      <c r="K229" s="462"/>
      <c r="L229" s="460"/>
      <c r="M229" s="529"/>
      <c r="N229" s="460"/>
      <c r="O229" s="527"/>
      <c r="P229" s="460"/>
      <c r="Q229" s="501"/>
      <c r="R229" s="462"/>
      <c r="S229" s="462"/>
      <c r="T229" s="462"/>
    </row>
    <row r="230" spans="8:20" ht="12.75">
      <c r="H230" s="527"/>
      <c r="I230" s="527"/>
      <c r="J230" s="515"/>
      <c r="K230" s="503"/>
      <c r="L230" s="503"/>
      <c r="M230" s="501"/>
      <c r="N230" s="460"/>
      <c r="O230" s="529"/>
      <c r="P230" s="530"/>
      <c r="Q230" s="501"/>
      <c r="R230" s="462"/>
      <c r="S230" s="462"/>
      <c r="T230" s="462"/>
    </row>
    <row r="231" spans="8:20" ht="12.75">
      <c r="H231" s="503"/>
      <c r="I231" s="503"/>
      <c r="J231" s="501"/>
      <c r="K231" s="527"/>
      <c r="L231" s="503"/>
      <c r="M231" s="501"/>
      <c r="N231" s="527"/>
      <c r="O231" s="518"/>
      <c r="P231" s="531"/>
      <c r="Q231" s="462"/>
      <c r="R231" s="462"/>
      <c r="S231" s="462"/>
      <c r="T231" s="462"/>
    </row>
    <row r="232" spans="8:20" ht="12.75">
      <c r="H232" s="460"/>
      <c r="I232" s="501"/>
      <c r="J232" s="462"/>
      <c r="K232" s="503"/>
      <c r="L232" s="503"/>
      <c r="M232" s="532"/>
      <c r="N232" s="503"/>
      <c r="O232" s="503"/>
      <c r="P232" s="533"/>
      <c r="Q232" s="462"/>
      <c r="R232" s="462"/>
      <c r="S232" s="462"/>
      <c r="T232" s="462"/>
    </row>
    <row r="233" spans="8:20" ht="12.75">
      <c r="H233" s="462"/>
      <c r="I233" s="462"/>
      <c r="J233" s="462"/>
      <c r="K233" s="462"/>
      <c r="L233" s="462"/>
      <c r="M233" s="462"/>
      <c r="N233" s="462"/>
      <c r="P233" s="462"/>
      <c r="Q233" s="462"/>
      <c r="R233" s="462"/>
      <c r="S233" s="462"/>
      <c r="T233" s="462"/>
    </row>
    <row r="234" spans="8:20" ht="12.75">
      <c r="H234" s="462"/>
      <c r="I234" s="460"/>
      <c r="J234" s="514"/>
      <c r="K234" s="520"/>
      <c r="L234" s="520"/>
      <c r="M234" s="520"/>
      <c r="N234" s="520"/>
      <c r="P234" s="462"/>
      <c r="Q234" s="462"/>
      <c r="R234" s="462"/>
      <c r="S234" s="462"/>
      <c r="T234" s="462"/>
    </row>
    <row r="235" spans="8:20" ht="12.75">
      <c r="H235" s="460"/>
      <c r="I235" s="460"/>
      <c r="J235" s="514"/>
      <c r="K235" s="520"/>
      <c r="L235" s="520"/>
      <c r="M235" s="520"/>
      <c r="N235" s="520"/>
      <c r="O235" s="520"/>
      <c r="P235" s="520"/>
      <c r="Q235" s="462"/>
      <c r="R235" s="462"/>
      <c r="S235" s="462"/>
      <c r="T235" s="462"/>
    </row>
    <row r="236" spans="8:20" ht="12.75">
      <c r="H236" s="462"/>
      <c r="I236" s="514"/>
      <c r="J236" s="514"/>
      <c r="K236" s="518"/>
      <c r="L236" s="518"/>
      <c r="M236" s="518"/>
      <c r="N236" s="518"/>
      <c r="O236" s="520"/>
      <c r="P236" s="520"/>
      <c r="Q236" s="462"/>
      <c r="R236" s="501"/>
      <c r="S236" s="501"/>
      <c r="T236" s="501"/>
    </row>
    <row r="237" spans="8:20" ht="12.75">
      <c r="H237" s="462"/>
      <c r="I237" s="514"/>
      <c r="J237" s="514"/>
      <c r="K237" s="515"/>
      <c r="L237" s="515"/>
      <c r="M237" s="515"/>
      <c r="N237" s="515"/>
      <c r="O237" s="518"/>
      <c r="P237" s="518"/>
      <c r="Q237" s="462"/>
      <c r="R237" s="462"/>
      <c r="S237" s="462"/>
      <c r="T237" s="462"/>
    </row>
    <row r="238" spans="8:20" ht="12.75">
      <c r="H238" s="462"/>
      <c r="I238" s="462"/>
      <c r="J238" s="462"/>
      <c r="K238" s="462"/>
      <c r="L238" s="462"/>
      <c r="M238" s="462"/>
      <c r="N238" s="462"/>
      <c r="O238" s="515"/>
      <c r="P238" s="515"/>
      <c r="Q238" s="462"/>
      <c r="R238" s="462"/>
      <c r="S238" s="462"/>
      <c r="T238" s="462"/>
    </row>
    <row r="239" spans="8:20" ht="12.75">
      <c r="H239" s="462"/>
      <c r="I239" s="462"/>
      <c r="J239" s="462"/>
      <c r="K239" s="460"/>
      <c r="L239" s="460"/>
      <c r="M239" s="460"/>
      <c r="N239" s="460"/>
      <c r="P239" s="462"/>
      <c r="Q239" s="462"/>
      <c r="R239" s="462"/>
      <c r="S239" s="462"/>
      <c r="T239" s="462"/>
    </row>
    <row r="240" spans="8:20" ht="12.75">
      <c r="H240" s="460"/>
      <c r="I240" s="460"/>
      <c r="J240" s="503"/>
      <c r="K240" s="460"/>
      <c r="L240" s="460"/>
      <c r="M240" s="460"/>
      <c r="N240" s="460"/>
      <c r="O240" s="460"/>
      <c r="P240" s="460"/>
      <c r="Q240" s="460"/>
      <c r="R240" s="462"/>
      <c r="S240" s="462"/>
      <c r="T240" s="462"/>
    </row>
    <row r="241" spans="8:20" ht="12.75">
      <c r="H241" s="462"/>
      <c r="I241" s="462"/>
      <c r="J241" s="462"/>
      <c r="K241" s="501"/>
      <c r="L241" s="501"/>
      <c r="M241" s="516"/>
      <c r="N241" s="462"/>
      <c r="O241" s="503"/>
      <c r="P241" s="517"/>
      <c r="Q241" s="517"/>
      <c r="R241" s="517"/>
      <c r="S241" s="517"/>
      <c r="T241" s="517"/>
    </row>
    <row r="242" spans="8:20" ht="12.75">
      <c r="H242" s="501"/>
      <c r="I242" s="501"/>
      <c r="J242" s="518"/>
      <c r="K242" s="518"/>
      <c r="L242" s="518"/>
      <c r="M242" s="519"/>
      <c r="N242" s="501"/>
      <c r="P242" s="520"/>
      <c r="Q242" s="521"/>
      <c r="R242" s="520"/>
      <c r="S242" s="520"/>
      <c r="T242" s="520"/>
    </row>
    <row r="243" spans="8:20" ht="12.75">
      <c r="H243" s="501"/>
      <c r="I243" s="501"/>
      <c r="J243" s="518"/>
      <c r="K243" s="501"/>
      <c r="L243" s="518"/>
      <c r="M243" s="462"/>
      <c r="N243" s="501"/>
      <c r="O243" s="501"/>
      <c r="P243" s="520"/>
      <c r="Q243" s="522"/>
      <c r="R243" s="518"/>
      <c r="S243" s="518"/>
      <c r="T243" s="518"/>
    </row>
    <row r="244" spans="8:20" ht="12.75">
      <c r="H244" s="460"/>
      <c r="I244" s="523"/>
      <c r="J244" s="518"/>
      <c r="K244" s="515"/>
      <c r="L244" s="518"/>
      <c r="M244" s="462"/>
      <c r="N244" s="501"/>
      <c r="O244" s="501"/>
      <c r="P244" s="520"/>
      <c r="Q244" s="522"/>
      <c r="R244" s="462"/>
      <c r="S244" s="462"/>
      <c r="T244" s="462"/>
    </row>
    <row r="245" spans="8:20" ht="12.75">
      <c r="H245" s="460"/>
      <c r="I245" s="460"/>
      <c r="J245" s="518"/>
      <c r="K245" s="515"/>
      <c r="L245" s="518"/>
      <c r="M245" s="462"/>
      <c r="N245" s="501"/>
      <c r="O245" s="501"/>
      <c r="P245" s="520"/>
      <c r="Q245" s="522"/>
      <c r="R245" s="462"/>
      <c r="S245" s="462"/>
      <c r="T245" s="462"/>
    </row>
    <row r="246" spans="8:20" ht="12.75">
      <c r="H246" s="501"/>
      <c r="I246" s="501"/>
      <c r="J246" s="518"/>
      <c r="K246" s="518"/>
      <c r="L246" s="518"/>
      <c r="M246" s="519"/>
      <c r="N246" s="501"/>
      <c r="O246" s="501"/>
      <c r="P246" s="520"/>
      <c r="Q246" s="522"/>
      <c r="R246" s="462"/>
      <c r="S246" s="462"/>
      <c r="T246" s="462"/>
    </row>
    <row r="247" spans="8:20" ht="12.75">
      <c r="H247" s="501"/>
      <c r="I247" s="501"/>
      <c r="J247" s="518"/>
      <c r="K247" s="501"/>
      <c r="L247" s="518"/>
      <c r="M247" s="462"/>
      <c r="N247" s="501"/>
      <c r="O247" s="501"/>
      <c r="P247" s="520"/>
      <c r="Q247" s="522"/>
      <c r="R247" s="462"/>
      <c r="S247" s="462"/>
      <c r="T247" s="462"/>
    </row>
    <row r="248" spans="8:20" ht="12.75">
      <c r="H248" s="523"/>
      <c r="I248" s="523"/>
      <c r="J248" s="518"/>
      <c r="K248" s="515"/>
      <c r="L248" s="518"/>
      <c r="M248" s="516"/>
      <c r="N248" s="501"/>
      <c r="O248" s="501"/>
      <c r="P248" s="520"/>
      <c r="Q248" s="522"/>
      <c r="R248" s="462"/>
      <c r="S248" s="462"/>
      <c r="T248" s="462"/>
    </row>
    <row r="249" spans="8:20" ht="12.75">
      <c r="H249" s="501"/>
      <c r="I249" s="460"/>
      <c r="J249" s="518"/>
      <c r="K249" s="515"/>
      <c r="L249" s="518"/>
      <c r="M249" s="462"/>
      <c r="N249" s="501"/>
      <c r="O249" s="501"/>
      <c r="P249" s="520"/>
      <c r="Q249" s="522"/>
      <c r="R249" s="462"/>
      <c r="S249" s="462"/>
      <c r="T249" s="462"/>
    </row>
    <row r="250" spans="8:20" ht="12.75">
      <c r="H250" s="501"/>
      <c r="I250" s="501"/>
      <c r="J250" s="518"/>
      <c r="K250" s="518"/>
      <c r="L250" s="518"/>
      <c r="M250" s="519"/>
      <c r="N250" s="501"/>
      <c r="O250" s="501"/>
      <c r="P250" s="520"/>
      <c r="Q250" s="522"/>
      <c r="R250" s="462"/>
      <c r="S250" s="462"/>
      <c r="T250" s="462"/>
    </row>
    <row r="251" spans="8:20" ht="12.75">
      <c r="H251" s="501"/>
      <c r="I251" s="501"/>
      <c r="J251" s="518"/>
      <c r="K251" s="501"/>
      <c r="L251" s="518"/>
      <c r="M251" s="462"/>
      <c r="N251" s="501"/>
      <c r="O251" s="501"/>
      <c r="P251" s="520"/>
      <c r="Q251" s="522"/>
      <c r="R251" s="462"/>
      <c r="S251" s="462"/>
      <c r="T251" s="462"/>
    </row>
    <row r="252" spans="8:20" ht="12.75">
      <c r="H252" s="523"/>
      <c r="I252" s="523"/>
      <c r="J252" s="518"/>
      <c r="K252" s="515"/>
      <c r="L252" s="518"/>
      <c r="M252" s="462"/>
      <c r="N252" s="501"/>
      <c r="O252" s="501"/>
      <c r="P252" s="520"/>
      <c r="Q252" s="522"/>
      <c r="R252" s="462"/>
      <c r="S252" s="462"/>
      <c r="T252" s="462"/>
    </row>
    <row r="253" spans="8:20" ht="12.75">
      <c r="H253" s="501"/>
      <c r="I253" s="460"/>
      <c r="J253" s="518"/>
      <c r="K253" s="515"/>
      <c r="L253" s="518"/>
      <c r="M253" s="462"/>
      <c r="N253" s="501"/>
      <c r="O253" s="501"/>
      <c r="P253" s="520"/>
      <c r="Q253" s="522"/>
      <c r="R253" s="462"/>
      <c r="S253" s="462"/>
      <c r="T253" s="462"/>
    </row>
    <row r="254" spans="8:20" ht="12.75">
      <c r="H254" s="501"/>
      <c r="I254" s="501"/>
      <c r="J254" s="518"/>
      <c r="K254" s="518"/>
      <c r="L254" s="518"/>
      <c r="M254" s="519"/>
      <c r="N254" s="501"/>
      <c r="O254" s="501"/>
      <c r="P254" s="520"/>
      <c r="Q254" s="522"/>
      <c r="R254" s="462"/>
      <c r="S254" s="462"/>
      <c r="T254" s="462"/>
    </row>
    <row r="255" spans="8:20" ht="12.75">
      <c r="H255" s="501"/>
      <c r="I255" s="501"/>
      <c r="J255" s="518"/>
      <c r="K255" s="501"/>
      <c r="L255" s="518"/>
      <c r="M255" s="462"/>
      <c r="N255" s="501"/>
      <c r="O255" s="501"/>
      <c r="P255" s="532"/>
      <c r="Q255" s="522"/>
      <c r="R255" s="462"/>
      <c r="S255" s="462"/>
      <c r="T255" s="462"/>
    </row>
    <row r="256" spans="8:20" ht="12.75">
      <c r="H256" s="523"/>
      <c r="I256" s="523"/>
      <c r="J256" s="518"/>
      <c r="K256" s="515"/>
      <c r="L256" s="518"/>
      <c r="M256" s="516"/>
      <c r="N256" s="501"/>
      <c r="O256" s="501"/>
      <c r="P256" s="520"/>
      <c r="Q256" s="522"/>
      <c r="R256" s="462"/>
      <c r="S256" s="462"/>
      <c r="T256" s="462"/>
    </row>
    <row r="257" spans="8:20" ht="12.75">
      <c r="H257" s="501"/>
      <c r="I257" s="462"/>
      <c r="J257" s="462"/>
      <c r="K257" s="515"/>
      <c r="L257" s="518"/>
      <c r="M257" s="462"/>
      <c r="N257" s="501"/>
      <c r="O257" s="501"/>
      <c r="P257" s="520"/>
      <c r="Q257" s="522"/>
      <c r="R257" s="462"/>
      <c r="S257" s="462"/>
      <c r="T257" s="462"/>
    </row>
    <row r="258" spans="8:20" ht="12.75">
      <c r="H258" s="501"/>
      <c r="I258" s="501"/>
      <c r="J258" s="518"/>
      <c r="K258" s="518"/>
      <c r="L258" s="518"/>
      <c r="M258" s="519"/>
      <c r="N258" s="501"/>
      <c r="O258" s="501"/>
      <c r="P258" s="520"/>
      <c r="Q258" s="522"/>
      <c r="R258" s="462"/>
      <c r="S258" s="462"/>
      <c r="T258" s="462"/>
    </row>
    <row r="259" spans="8:20" ht="12.75">
      <c r="H259" s="501"/>
      <c r="I259" s="501"/>
      <c r="J259" s="518"/>
      <c r="K259" s="501"/>
      <c r="L259" s="518"/>
      <c r="M259" s="462"/>
      <c r="N259" s="501"/>
      <c r="O259" s="501"/>
      <c r="P259" s="520"/>
      <c r="Q259" s="522"/>
      <c r="R259" s="462"/>
      <c r="S259" s="462"/>
      <c r="T259" s="462"/>
    </row>
    <row r="260" spans="8:20" ht="12.75">
      <c r="H260" s="523"/>
      <c r="I260" s="523"/>
      <c r="J260" s="518"/>
      <c r="K260" s="515"/>
      <c r="L260" s="518"/>
      <c r="M260" s="462"/>
      <c r="N260" s="501"/>
      <c r="O260" s="501"/>
      <c r="P260" s="520"/>
      <c r="Q260" s="522"/>
      <c r="R260" s="462"/>
      <c r="S260" s="462"/>
      <c r="T260" s="462"/>
    </row>
    <row r="261" spans="8:20" ht="12.75">
      <c r="H261" s="501"/>
      <c r="I261" s="460"/>
      <c r="J261" s="518"/>
      <c r="K261" s="515"/>
      <c r="L261" s="518"/>
      <c r="M261" s="462"/>
      <c r="N261" s="501"/>
      <c r="O261" s="501"/>
      <c r="P261" s="520"/>
      <c r="Q261" s="522"/>
      <c r="R261" s="462"/>
      <c r="S261" s="462"/>
      <c r="T261" s="462"/>
    </row>
    <row r="262" spans="8:20" ht="12.75">
      <c r="H262" s="501"/>
      <c r="I262" s="501"/>
      <c r="J262" s="518"/>
      <c r="K262" s="518"/>
      <c r="L262" s="518"/>
      <c r="M262" s="519"/>
      <c r="N262" s="501"/>
      <c r="O262" s="501"/>
      <c r="P262" s="520"/>
      <c r="Q262" s="522"/>
      <c r="R262" s="462"/>
      <c r="S262" s="462"/>
      <c r="T262" s="462"/>
    </row>
    <row r="263" spans="8:20" ht="12.75">
      <c r="H263" s="501"/>
      <c r="I263" s="501"/>
      <c r="J263" s="518"/>
      <c r="K263" s="501"/>
      <c r="L263" s="518"/>
      <c r="M263" s="462"/>
      <c r="N263" s="501"/>
      <c r="O263" s="501"/>
      <c r="P263" s="520"/>
      <c r="Q263" s="522"/>
      <c r="R263" s="462"/>
      <c r="S263" s="462"/>
      <c r="T263" s="462"/>
    </row>
    <row r="264" spans="8:20" ht="12.75">
      <c r="H264" s="523"/>
      <c r="I264" s="523"/>
      <c r="J264" s="518"/>
      <c r="K264" s="515"/>
      <c r="L264" s="518"/>
      <c r="M264" s="462"/>
      <c r="N264" s="501"/>
      <c r="O264" s="501"/>
      <c r="P264" s="520"/>
      <c r="Q264" s="522"/>
      <c r="R264" s="462"/>
      <c r="S264" s="462"/>
      <c r="T264" s="462"/>
    </row>
    <row r="265" spans="8:20" ht="12.75">
      <c r="H265" s="501"/>
      <c r="I265" s="460"/>
      <c r="J265" s="518"/>
      <c r="K265" s="515"/>
      <c r="L265" s="518"/>
      <c r="M265" s="501"/>
      <c r="N265" s="501"/>
      <c r="O265" s="501"/>
      <c r="P265" s="520"/>
      <c r="Q265" s="522"/>
      <c r="R265" s="462"/>
      <c r="S265" s="462"/>
      <c r="T265" s="462"/>
    </row>
    <row r="266" spans="8:20" ht="12.75">
      <c r="H266" s="501"/>
      <c r="I266" s="501"/>
      <c r="J266" s="518"/>
      <c r="K266" s="518"/>
      <c r="L266" s="518"/>
      <c r="M266" s="519"/>
      <c r="N266" s="501"/>
      <c r="O266" s="501"/>
      <c r="P266" s="520"/>
      <c r="Q266" s="522"/>
      <c r="R266" s="462"/>
      <c r="S266" s="462"/>
      <c r="T266" s="462"/>
    </row>
    <row r="267" spans="8:20" ht="12.75">
      <c r="H267" s="501"/>
      <c r="I267" s="501"/>
      <c r="J267" s="518"/>
      <c r="K267" s="501"/>
      <c r="L267" s="518"/>
      <c r="M267" s="462"/>
      <c r="N267" s="501"/>
      <c r="O267" s="501"/>
      <c r="P267" s="520"/>
      <c r="Q267" s="522"/>
      <c r="R267" s="462"/>
      <c r="S267" s="462"/>
      <c r="T267" s="462"/>
    </row>
    <row r="268" spans="8:20" ht="12.75">
      <c r="H268" s="523"/>
      <c r="I268" s="523"/>
      <c r="J268" s="518"/>
      <c r="K268" s="515"/>
      <c r="L268" s="518"/>
      <c r="M268" s="515"/>
      <c r="N268" s="501"/>
      <c r="O268" s="501"/>
      <c r="P268" s="520"/>
      <c r="Q268" s="522"/>
      <c r="R268" s="462"/>
      <c r="S268" s="462"/>
      <c r="T268" s="462"/>
    </row>
    <row r="269" spans="8:20" ht="12.75">
      <c r="H269" s="462"/>
      <c r="I269" s="462"/>
      <c r="J269" s="462"/>
      <c r="K269" s="462"/>
      <c r="L269" s="462"/>
      <c r="M269" s="462"/>
      <c r="N269" s="462"/>
      <c r="O269" s="501"/>
      <c r="P269" s="520"/>
      <c r="Q269" s="522"/>
      <c r="R269" s="462"/>
      <c r="S269" s="462"/>
      <c r="T269" s="462"/>
    </row>
    <row r="270" spans="8:20" ht="12.75">
      <c r="H270" s="462"/>
      <c r="I270" s="462"/>
      <c r="J270" s="462"/>
      <c r="K270" s="503"/>
      <c r="L270" s="518"/>
      <c r="M270" s="462"/>
      <c r="N270" s="462"/>
      <c r="P270" s="462"/>
      <c r="Q270" s="462"/>
      <c r="R270" s="462"/>
      <c r="S270" s="462"/>
      <c r="T270" s="462"/>
    </row>
    <row r="271" spans="8:20" ht="12.75">
      <c r="H271" s="462"/>
      <c r="I271" s="462"/>
      <c r="J271" s="462"/>
      <c r="K271" s="462"/>
      <c r="L271" s="462"/>
      <c r="M271" s="462"/>
      <c r="N271" s="462"/>
      <c r="O271" s="501"/>
      <c r="P271" s="462"/>
      <c r="Q271" s="525"/>
      <c r="R271" s="462"/>
      <c r="S271" s="462"/>
      <c r="T271" s="462"/>
    </row>
    <row r="272" spans="8:20" ht="12.75">
      <c r="H272" s="462"/>
      <c r="I272" s="503"/>
      <c r="J272" s="462"/>
      <c r="K272" s="462"/>
      <c r="L272" s="462"/>
      <c r="M272" s="462"/>
      <c r="N272" s="462"/>
      <c r="P272" s="462"/>
      <c r="Q272" s="462"/>
      <c r="R272" s="462"/>
      <c r="S272" s="462"/>
      <c r="T272" s="462"/>
    </row>
    <row r="273" spans="8:20" ht="12.75">
      <c r="H273" s="462"/>
      <c r="I273" s="462"/>
      <c r="J273" s="462"/>
      <c r="K273" s="462"/>
      <c r="L273" s="462"/>
      <c r="M273" s="462"/>
      <c r="N273" s="462"/>
      <c r="O273" s="507"/>
      <c r="P273" s="462"/>
      <c r="Q273" s="462"/>
      <c r="R273" s="462"/>
      <c r="S273" s="462"/>
      <c r="T273" s="462"/>
    </row>
    <row r="274" spans="8:20" ht="30">
      <c r="H274" s="508"/>
      <c r="I274" s="509"/>
      <c r="J274" s="462"/>
      <c r="K274" s="462"/>
      <c r="L274" s="462"/>
      <c r="M274" s="510"/>
      <c r="N274" s="510"/>
      <c r="P274" s="462"/>
      <c r="Q274" s="462"/>
      <c r="R274" s="462"/>
      <c r="S274" s="462"/>
      <c r="T274" s="462"/>
    </row>
    <row r="275" spans="8:20" ht="30">
      <c r="H275" s="462"/>
      <c r="I275" s="462"/>
      <c r="J275" s="462"/>
      <c r="K275" s="462"/>
      <c r="L275" s="462"/>
      <c r="M275" s="462"/>
      <c r="N275" s="462"/>
      <c r="O275" s="510"/>
      <c r="P275" s="462"/>
      <c r="Q275" s="462"/>
      <c r="R275" s="462"/>
      <c r="S275" s="462"/>
      <c r="T275" s="462"/>
    </row>
    <row r="276" spans="8:20" ht="18">
      <c r="H276" s="463"/>
      <c r="I276" s="511"/>
      <c r="J276" s="465"/>
      <c r="K276" s="463"/>
      <c r="L276" s="463"/>
      <c r="M276" s="465"/>
      <c r="N276" s="512"/>
      <c r="P276" s="462"/>
      <c r="Q276" s="462"/>
      <c r="R276" s="462"/>
      <c r="S276" s="462"/>
      <c r="T276" s="462"/>
    </row>
    <row r="277" spans="8:20" ht="18">
      <c r="H277" s="501"/>
      <c r="I277" s="501"/>
      <c r="J277" s="501"/>
      <c r="K277" s="501"/>
      <c r="L277" s="527"/>
      <c r="M277" s="528"/>
      <c r="N277" s="462"/>
      <c r="P277" s="513"/>
      <c r="Q277" s="465"/>
      <c r="R277" s="465"/>
      <c r="S277" s="465"/>
      <c r="T277" s="465"/>
    </row>
    <row r="278" spans="8:20" ht="12.75">
      <c r="H278" s="531"/>
      <c r="I278" s="462"/>
      <c r="J278" s="527"/>
      <c r="K278" s="462"/>
      <c r="L278" s="460"/>
      <c r="M278" s="529"/>
      <c r="N278" s="460"/>
      <c r="O278" s="527"/>
      <c r="P278" s="460"/>
      <c r="Q278" s="501"/>
      <c r="R278" s="462"/>
      <c r="S278" s="462"/>
      <c r="T278" s="462"/>
    </row>
    <row r="279" spans="8:20" ht="12.75">
      <c r="H279" s="531"/>
      <c r="I279" s="527"/>
      <c r="J279" s="515"/>
      <c r="K279" s="503"/>
      <c r="L279" s="503"/>
      <c r="M279" s="501"/>
      <c r="N279" s="462"/>
      <c r="O279" s="529"/>
      <c r="P279" s="530"/>
      <c r="Q279" s="501"/>
      <c r="R279" s="462"/>
      <c r="S279" s="462"/>
      <c r="T279" s="462"/>
    </row>
    <row r="280" spans="8:20" ht="12.75">
      <c r="H280" s="503"/>
      <c r="I280" s="503"/>
      <c r="J280" s="501"/>
      <c r="K280" s="527"/>
      <c r="L280" s="503"/>
      <c r="M280" s="501"/>
      <c r="N280" s="462"/>
      <c r="O280" s="460"/>
      <c r="P280" s="518"/>
      <c r="Q280" s="531"/>
      <c r="R280" s="462"/>
      <c r="S280" s="462"/>
      <c r="T280" s="462"/>
    </row>
    <row r="281" spans="8:20" ht="12.75">
      <c r="H281" s="462"/>
      <c r="I281" s="460"/>
      <c r="J281" s="501"/>
      <c r="K281" s="503"/>
      <c r="L281" s="503"/>
      <c r="M281" s="532"/>
      <c r="N281" s="462"/>
      <c r="O281" s="527"/>
      <c r="P281" s="503"/>
      <c r="Q281" s="533"/>
      <c r="R281" s="462"/>
      <c r="S281" s="462"/>
      <c r="T281" s="462"/>
    </row>
    <row r="282" spans="8:20" ht="12.75">
      <c r="H282" s="462"/>
      <c r="I282" s="462"/>
      <c r="J282" s="462"/>
      <c r="K282" s="462"/>
      <c r="L282" s="462"/>
      <c r="M282" s="462"/>
      <c r="N282" s="462"/>
      <c r="O282" s="503"/>
      <c r="P282" s="462"/>
      <c r="Q282" s="462"/>
      <c r="R282" s="462"/>
      <c r="S282" s="462"/>
      <c r="T282" s="462"/>
    </row>
    <row r="283" spans="8:20" ht="12.75">
      <c r="H283" s="462"/>
      <c r="I283" s="460"/>
      <c r="J283" s="514"/>
      <c r="K283" s="520"/>
      <c r="L283" s="520"/>
      <c r="M283" s="520"/>
      <c r="N283" s="520"/>
      <c r="P283" s="462"/>
      <c r="Q283" s="462"/>
      <c r="R283" s="462"/>
      <c r="S283" s="462"/>
      <c r="T283" s="462"/>
    </row>
    <row r="284" spans="8:20" ht="12.75">
      <c r="H284" s="460"/>
      <c r="I284" s="460"/>
      <c r="J284" s="514"/>
      <c r="K284" s="520"/>
      <c r="L284" s="520"/>
      <c r="M284" s="520"/>
      <c r="N284" s="520"/>
      <c r="O284" s="520"/>
      <c r="P284" s="520"/>
      <c r="Q284" s="501"/>
      <c r="R284" s="462"/>
      <c r="S284" s="462"/>
      <c r="T284" s="462"/>
    </row>
    <row r="285" spans="8:20" ht="12.75">
      <c r="H285" s="462"/>
      <c r="I285" s="514"/>
      <c r="J285" s="514"/>
      <c r="K285" s="518"/>
      <c r="L285" s="518"/>
      <c r="M285" s="518"/>
      <c r="N285" s="518"/>
      <c r="O285" s="520"/>
      <c r="P285" s="520"/>
      <c r="Q285" s="520"/>
      <c r="R285" s="501"/>
      <c r="S285" s="501"/>
      <c r="T285" s="501"/>
    </row>
    <row r="286" spans="8:20" ht="12.75">
      <c r="H286" s="462"/>
      <c r="I286" s="514"/>
      <c r="J286" s="514"/>
      <c r="K286" s="515"/>
      <c r="L286" s="515"/>
      <c r="M286" s="515"/>
      <c r="N286" s="515"/>
      <c r="O286" s="518"/>
      <c r="P286" s="518"/>
      <c r="Q286" s="518"/>
      <c r="R286" s="462"/>
      <c r="S286" s="462"/>
      <c r="T286" s="462"/>
    </row>
    <row r="287" spans="8:20" ht="12.75">
      <c r="H287" s="462"/>
      <c r="I287" s="462"/>
      <c r="J287" s="462"/>
      <c r="K287" s="462"/>
      <c r="L287" s="462"/>
      <c r="M287" s="462"/>
      <c r="N287" s="462"/>
      <c r="O287" s="515"/>
      <c r="P287" s="515"/>
      <c r="Q287" s="515"/>
      <c r="R287" s="462"/>
      <c r="S287" s="462"/>
      <c r="T287" s="462"/>
    </row>
    <row r="288" spans="8:20" ht="12.75">
      <c r="H288" s="462"/>
      <c r="I288" s="462"/>
      <c r="J288" s="460"/>
      <c r="K288" s="462"/>
      <c r="L288" s="460"/>
      <c r="M288" s="460"/>
      <c r="N288" s="460"/>
      <c r="P288" s="462"/>
      <c r="Q288" s="462"/>
      <c r="R288" s="462"/>
      <c r="S288" s="462"/>
      <c r="T288" s="462"/>
    </row>
    <row r="289" spans="8:20" ht="12.75">
      <c r="H289" s="460"/>
      <c r="I289" s="460"/>
      <c r="J289" s="460"/>
      <c r="K289" s="503"/>
      <c r="L289" s="460"/>
      <c r="M289" s="460"/>
      <c r="N289" s="460"/>
      <c r="O289" s="460"/>
      <c r="P289" s="460"/>
      <c r="Q289" s="460"/>
      <c r="R289" s="460"/>
      <c r="S289" s="460"/>
      <c r="T289" s="460"/>
    </row>
    <row r="290" spans="8:20" ht="12.75">
      <c r="H290" s="462"/>
      <c r="I290" s="462"/>
      <c r="J290" s="462"/>
      <c r="K290" s="462"/>
      <c r="L290" s="501"/>
      <c r="M290" s="501"/>
      <c r="N290" s="516"/>
      <c r="O290" s="460"/>
      <c r="P290" s="503"/>
      <c r="Q290" s="517"/>
      <c r="R290" s="517"/>
      <c r="S290" s="517"/>
      <c r="T290" s="517"/>
    </row>
    <row r="291" spans="8:20" ht="12.75">
      <c r="H291" s="501"/>
      <c r="I291" s="501"/>
      <c r="J291" s="520"/>
      <c r="K291" s="518"/>
      <c r="L291" s="518"/>
      <c r="M291" s="518"/>
      <c r="N291" s="519"/>
      <c r="P291" s="462"/>
      <c r="Q291" s="520"/>
      <c r="R291" s="521"/>
      <c r="S291" s="521"/>
      <c r="T291" s="521"/>
    </row>
    <row r="292" spans="8:20" ht="12.75">
      <c r="H292" s="501"/>
      <c r="I292" s="501"/>
      <c r="J292" s="520"/>
      <c r="K292" s="518"/>
      <c r="L292" s="501"/>
      <c r="M292" s="518"/>
      <c r="N292" s="462"/>
      <c r="O292" s="515"/>
      <c r="P292" s="501"/>
      <c r="Q292" s="520"/>
      <c r="R292" s="522"/>
      <c r="S292" s="522"/>
      <c r="T292" s="522"/>
    </row>
    <row r="293" spans="8:20" ht="12.75">
      <c r="H293" s="460"/>
      <c r="I293" s="523"/>
      <c r="J293" s="520"/>
      <c r="K293" s="518"/>
      <c r="L293" s="515"/>
      <c r="M293" s="518"/>
      <c r="N293" s="462"/>
      <c r="O293" s="515"/>
      <c r="P293" s="501"/>
      <c r="Q293" s="520"/>
      <c r="R293" s="522"/>
      <c r="S293" s="522"/>
      <c r="T293" s="522"/>
    </row>
    <row r="294" spans="8:20" ht="12.75">
      <c r="H294" s="460"/>
      <c r="I294" s="460"/>
      <c r="J294" s="520"/>
      <c r="K294" s="518"/>
      <c r="L294" s="515"/>
      <c r="M294" s="518"/>
      <c r="N294" s="462"/>
      <c r="O294" s="515"/>
      <c r="P294" s="501"/>
      <c r="Q294" s="520"/>
      <c r="R294" s="522"/>
      <c r="S294" s="522"/>
      <c r="T294" s="522"/>
    </row>
    <row r="295" spans="8:20" ht="12.75">
      <c r="H295" s="501"/>
      <c r="I295" s="501"/>
      <c r="J295" s="520"/>
      <c r="K295" s="518"/>
      <c r="L295" s="518"/>
      <c r="M295" s="518"/>
      <c r="N295" s="519"/>
      <c r="O295" s="515"/>
      <c r="P295" s="501"/>
      <c r="Q295" s="520"/>
      <c r="R295" s="522"/>
      <c r="S295" s="522"/>
      <c r="T295" s="522"/>
    </row>
    <row r="296" spans="8:20" ht="12.75">
      <c r="H296" s="501"/>
      <c r="I296" s="501"/>
      <c r="J296" s="520"/>
      <c r="K296" s="518"/>
      <c r="L296" s="501"/>
      <c r="M296" s="518"/>
      <c r="N296" s="462"/>
      <c r="O296" s="515"/>
      <c r="P296" s="501"/>
      <c r="Q296" s="520"/>
      <c r="R296" s="522"/>
      <c r="S296" s="522"/>
      <c r="T296" s="522"/>
    </row>
    <row r="297" spans="8:20" ht="12.75">
      <c r="H297" s="523"/>
      <c r="I297" s="523"/>
      <c r="J297" s="520"/>
      <c r="K297" s="518"/>
      <c r="L297" s="515"/>
      <c r="M297" s="518"/>
      <c r="N297" s="516"/>
      <c r="O297" s="515"/>
      <c r="P297" s="515"/>
      <c r="Q297" s="520"/>
      <c r="R297" s="522"/>
      <c r="S297" s="522"/>
      <c r="T297" s="522"/>
    </row>
    <row r="298" spans="8:20" ht="12.75">
      <c r="H298" s="501"/>
      <c r="I298" s="460"/>
      <c r="J298" s="520"/>
      <c r="K298" s="518"/>
      <c r="L298" s="515"/>
      <c r="M298" s="518"/>
      <c r="N298" s="462"/>
      <c r="O298" s="515"/>
      <c r="P298" s="501"/>
      <c r="Q298" s="520"/>
      <c r="R298" s="522"/>
      <c r="S298" s="522"/>
      <c r="T298" s="522"/>
    </row>
    <row r="299" spans="8:20" ht="12.75">
      <c r="H299" s="501"/>
      <c r="I299" s="501"/>
      <c r="J299" s="520"/>
      <c r="K299" s="518"/>
      <c r="L299" s="518"/>
      <c r="M299" s="518"/>
      <c r="N299" s="519"/>
      <c r="O299" s="515"/>
      <c r="P299" s="501"/>
      <c r="Q299" s="520"/>
      <c r="R299" s="522"/>
      <c r="S299" s="522"/>
      <c r="T299" s="522"/>
    </row>
    <row r="300" spans="8:20" ht="12.75">
      <c r="H300" s="501"/>
      <c r="I300" s="501"/>
      <c r="J300" s="520"/>
      <c r="K300" s="518"/>
      <c r="L300" s="501"/>
      <c r="M300" s="518"/>
      <c r="N300" s="462"/>
      <c r="O300" s="515"/>
      <c r="P300" s="501"/>
      <c r="Q300" s="520"/>
      <c r="R300" s="522"/>
      <c r="S300" s="522"/>
      <c r="T300" s="522"/>
    </row>
    <row r="301" spans="8:20" ht="12.75">
      <c r="H301" s="523"/>
      <c r="I301" s="523"/>
      <c r="J301" s="520"/>
      <c r="K301" s="518"/>
      <c r="L301" s="515"/>
      <c r="M301" s="518"/>
      <c r="N301" s="462"/>
      <c r="O301" s="515"/>
      <c r="P301" s="501"/>
      <c r="Q301" s="520"/>
      <c r="R301" s="522"/>
      <c r="S301" s="522"/>
      <c r="T301" s="522"/>
    </row>
    <row r="302" spans="8:20" ht="12.75">
      <c r="H302" s="501"/>
      <c r="I302" s="460"/>
      <c r="J302" s="520"/>
      <c r="K302" s="518"/>
      <c r="L302" s="515"/>
      <c r="M302" s="518"/>
      <c r="N302" s="462"/>
      <c r="O302" s="515"/>
      <c r="P302" s="501"/>
      <c r="Q302" s="520"/>
      <c r="R302" s="522"/>
      <c r="S302" s="522"/>
      <c r="T302" s="522"/>
    </row>
    <row r="303" spans="8:20" ht="12.75">
      <c r="H303" s="501"/>
      <c r="I303" s="501"/>
      <c r="J303" s="520"/>
      <c r="K303" s="518"/>
      <c r="L303" s="518"/>
      <c r="M303" s="518"/>
      <c r="N303" s="519"/>
      <c r="O303" s="515"/>
      <c r="P303" s="501"/>
      <c r="Q303" s="520"/>
      <c r="R303" s="522"/>
      <c r="S303" s="522"/>
      <c r="T303" s="522"/>
    </row>
    <row r="304" spans="8:20" ht="12.75">
      <c r="H304" s="501"/>
      <c r="I304" s="501"/>
      <c r="J304" s="520"/>
      <c r="K304" s="518"/>
      <c r="L304" s="501"/>
      <c r="M304" s="518"/>
      <c r="N304" s="462"/>
      <c r="O304" s="515"/>
      <c r="P304" s="501"/>
      <c r="Q304" s="520"/>
      <c r="R304" s="522"/>
      <c r="S304" s="522"/>
      <c r="T304" s="522"/>
    </row>
    <row r="305" spans="8:20" ht="12.75">
      <c r="H305" s="523"/>
      <c r="I305" s="523"/>
      <c r="J305" s="520"/>
      <c r="K305" s="518"/>
      <c r="L305" s="515"/>
      <c r="M305" s="518"/>
      <c r="N305" s="516"/>
      <c r="O305" s="515"/>
      <c r="P305" s="501"/>
      <c r="Q305" s="520"/>
      <c r="R305" s="522"/>
      <c r="S305" s="522"/>
      <c r="T305" s="522"/>
    </row>
    <row r="306" spans="8:20" ht="12.75">
      <c r="H306" s="501"/>
      <c r="I306" s="462"/>
      <c r="J306" s="520"/>
      <c r="K306" s="462"/>
      <c r="L306" s="515"/>
      <c r="M306" s="518"/>
      <c r="N306" s="462"/>
      <c r="O306" s="515"/>
      <c r="P306" s="501"/>
      <c r="Q306" s="520"/>
      <c r="R306" s="522"/>
      <c r="S306" s="522"/>
      <c r="T306" s="522"/>
    </row>
    <row r="307" spans="8:20" ht="12.75">
      <c r="H307" s="501"/>
      <c r="I307" s="501"/>
      <c r="J307" s="520"/>
      <c r="K307" s="518"/>
      <c r="L307" s="518"/>
      <c r="M307" s="518"/>
      <c r="N307" s="519"/>
      <c r="O307" s="515"/>
      <c r="P307" s="501"/>
      <c r="Q307" s="520"/>
      <c r="R307" s="522"/>
      <c r="S307" s="522"/>
      <c r="T307" s="522"/>
    </row>
    <row r="308" spans="8:20" ht="12.75">
      <c r="H308" s="501"/>
      <c r="I308" s="501"/>
      <c r="J308" s="520"/>
      <c r="K308" s="518"/>
      <c r="L308" s="501"/>
      <c r="M308" s="518"/>
      <c r="N308" s="462"/>
      <c r="O308" s="515"/>
      <c r="P308" s="501"/>
      <c r="Q308" s="520"/>
      <c r="R308" s="522"/>
      <c r="S308" s="522"/>
      <c r="T308" s="522"/>
    </row>
    <row r="309" spans="8:20" ht="12.75">
      <c r="H309" s="523"/>
      <c r="I309" s="523"/>
      <c r="J309" s="520"/>
      <c r="K309" s="518"/>
      <c r="L309" s="515"/>
      <c r="M309" s="518"/>
      <c r="N309" s="462"/>
      <c r="O309" s="515"/>
      <c r="P309" s="501"/>
      <c r="Q309" s="520"/>
      <c r="R309" s="522"/>
      <c r="S309" s="522"/>
      <c r="T309" s="522"/>
    </row>
    <row r="310" spans="8:20" ht="12.75">
      <c r="H310" s="501"/>
      <c r="I310" s="460"/>
      <c r="J310" s="520"/>
      <c r="K310" s="518"/>
      <c r="L310" s="515"/>
      <c r="M310" s="518"/>
      <c r="N310" s="462"/>
      <c r="O310" s="515"/>
      <c r="P310" s="501"/>
      <c r="Q310" s="520"/>
      <c r="R310" s="522"/>
      <c r="S310" s="522"/>
      <c r="T310" s="522"/>
    </row>
    <row r="311" spans="8:20" ht="12.75">
      <c r="H311" s="501"/>
      <c r="I311" s="501"/>
      <c r="J311" s="520"/>
      <c r="K311" s="518"/>
      <c r="L311" s="518"/>
      <c r="M311" s="518"/>
      <c r="N311" s="519"/>
      <c r="O311" s="515"/>
      <c r="P311" s="501"/>
      <c r="Q311" s="520"/>
      <c r="R311" s="522"/>
      <c r="S311" s="522"/>
      <c r="T311" s="522"/>
    </row>
    <row r="312" spans="8:20" ht="12.75">
      <c r="H312" s="501"/>
      <c r="I312" s="501"/>
      <c r="J312" s="520"/>
      <c r="K312" s="518"/>
      <c r="L312" s="501"/>
      <c r="M312" s="518"/>
      <c r="N312" s="462"/>
      <c r="O312" s="515"/>
      <c r="P312" s="501"/>
      <c r="Q312" s="520"/>
      <c r="R312" s="522"/>
      <c r="S312" s="522"/>
      <c r="T312" s="522"/>
    </row>
    <row r="313" spans="8:20" ht="12.75">
      <c r="H313" s="523"/>
      <c r="I313" s="523"/>
      <c r="J313" s="520"/>
      <c r="K313" s="518"/>
      <c r="L313" s="515"/>
      <c r="M313" s="518"/>
      <c r="N313" s="462"/>
      <c r="O313" s="515"/>
      <c r="P313" s="501"/>
      <c r="Q313" s="520"/>
      <c r="R313" s="522"/>
      <c r="S313" s="522"/>
      <c r="T313" s="522"/>
    </row>
    <row r="314" spans="8:20" ht="12.75">
      <c r="H314" s="501"/>
      <c r="I314" s="460"/>
      <c r="J314" s="520"/>
      <c r="K314" s="518"/>
      <c r="L314" s="515"/>
      <c r="M314" s="518"/>
      <c r="N314" s="501"/>
      <c r="O314" s="515"/>
      <c r="P314" s="501"/>
      <c r="Q314" s="520"/>
      <c r="R314" s="522"/>
      <c r="S314" s="522"/>
      <c r="T314" s="522"/>
    </row>
    <row r="315" spans="8:20" ht="12.75">
      <c r="H315" s="501"/>
      <c r="I315" s="501"/>
      <c r="J315" s="520"/>
      <c r="K315" s="518"/>
      <c r="L315" s="518"/>
      <c r="M315" s="518"/>
      <c r="N315" s="519"/>
      <c r="O315" s="515"/>
      <c r="P315" s="501"/>
      <c r="Q315" s="520"/>
      <c r="R315" s="522"/>
      <c r="S315" s="522"/>
      <c r="T315" s="522"/>
    </row>
    <row r="316" spans="8:20" ht="12.75">
      <c r="H316" s="501"/>
      <c r="I316" s="501"/>
      <c r="J316" s="520"/>
      <c r="K316" s="518"/>
      <c r="L316" s="501"/>
      <c r="M316" s="518"/>
      <c r="N316" s="462"/>
      <c r="O316" s="515"/>
      <c r="P316" s="501"/>
      <c r="Q316" s="520"/>
      <c r="R316" s="522"/>
      <c r="S316" s="522"/>
      <c r="T316" s="522"/>
    </row>
    <row r="317" spans="8:20" ht="12.75">
      <c r="H317" s="523"/>
      <c r="I317" s="523"/>
      <c r="J317" s="520"/>
      <c r="K317" s="518"/>
      <c r="L317" s="515"/>
      <c r="M317" s="518"/>
      <c r="N317" s="515"/>
      <c r="O317" s="515"/>
      <c r="P317" s="501"/>
      <c r="Q317" s="520"/>
      <c r="R317" s="522"/>
      <c r="S317" s="522"/>
      <c r="T317" s="522"/>
    </row>
    <row r="318" spans="8:20" ht="12.75">
      <c r="H318" s="462"/>
      <c r="I318" s="462"/>
      <c r="J318" s="462"/>
      <c r="K318" s="462"/>
      <c r="L318" s="462"/>
      <c r="M318" s="462"/>
      <c r="N318" s="462"/>
      <c r="O318" s="515"/>
      <c r="P318" s="501"/>
      <c r="Q318" s="520"/>
      <c r="R318" s="522"/>
      <c r="S318" s="522"/>
      <c r="T318" s="522"/>
    </row>
    <row r="319" spans="8:20" ht="12.75">
      <c r="H319" s="462"/>
      <c r="I319" s="460"/>
      <c r="J319" s="462"/>
      <c r="K319" s="462"/>
      <c r="L319" s="460"/>
      <c r="M319" s="462"/>
      <c r="N319" s="462"/>
      <c r="P319" s="462"/>
      <c r="Q319" s="462"/>
      <c r="R319" s="462"/>
      <c r="S319" s="462"/>
      <c r="T319" s="462"/>
    </row>
    <row r="320" spans="8:20" ht="12.75">
      <c r="H320" s="462"/>
      <c r="I320" s="503"/>
      <c r="J320" s="515"/>
      <c r="K320" s="518"/>
      <c r="L320" s="503"/>
      <c r="M320" s="518"/>
      <c r="N320" s="462"/>
      <c r="P320" s="462"/>
      <c r="Q320" s="462"/>
      <c r="R320" s="462"/>
      <c r="S320" s="462"/>
      <c r="T320" s="462"/>
    </row>
    <row r="321" spans="8:20" ht="12.75">
      <c r="H321" s="462"/>
      <c r="I321" s="462"/>
      <c r="J321" s="462"/>
      <c r="K321" s="462"/>
      <c r="L321" s="462"/>
      <c r="M321" s="462"/>
      <c r="N321" s="462"/>
      <c r="O321" s="524"/>
      <c r="P321" s="501"/>
      <c r="Q321" s="501"/>
      <c r="R321" s="506"/>
      <c r="S321" s="506"/>
      <c r="T321" s="506"/>
    </row>
    <row r="322" spans="8:20" ht="12.75">
      <c r="H322" s="462"/>
      <c r="I322" s="503"/>
      <c r="J322" s="462"/>
      <c r="K322" s="462"/>
      <c r="L322" s="462"/>
      <c r="M322" s="462"/>
      <c r="N322" s="462"/>
      <c r="P322" s="462"/>
      <c r="Q322" s="462"/>
      <c r="R322" s="462"/>
      <c r="S322" s="462"/>
      <c r="T322" s="462"/>
    </row>
    <row r="323" spans="8:20" ht="12.75">
      <c r="H323" s="462"/>
      <c r="I323" s="462"/>
      <c r="J323" s="462"/>
      <c r="K323" s="462"/>
      <c r="L323" s="462"/>
      <c r="M323" s="462"/>
      <c r="N323" s="462"/>
      <c r="P323" s="507"/>
      <c r="Q323" s="462"/>
      <c r="R323" s="462"/>
      <c r="S323" s="462"/>
      <c r="T323" s="462"/>
    </row>
    <row r="324" spans="8:20" ht="12.75">
      <c r="H324" s="462"/>
      <c r="I324" s="462"/>
      <c r="J324" s="462"/>
      <c r="K324" s="462"/>
      <c r="L324" s="462"/>
      <c r="M324" s="462"/>
      <c r="N324" s="462"/>
      <c r="P324" s="462"/>
      <c r="Q324" s="462"/>
      <c r="R324" s="462"/>
      <c r="S324" s="462"/>
      <c r="T324" s="462"/>
    </row>
    <row r="325" spans="8:20" ht="12.75">
      <c r="H325" s="462"/>
      <c r="I325" s="462"/>
      <c r="J325" s="462"/>
      <c r="K325" s="462"/>
      <c r="L325" s="462"/>
      <c r="M325" s="462"/>
      <c r="N325" s="462"/>
      <c r="P325" s="462"/>
      <c r="Q325" s="462"/>
      <c r="R325" s="462"/>
      <c r="S325" s="462"/>
      <c r="T325" s="462"/>
    </row>
    <row r="326" spans="8:20" ht="12.75">
      <c r="H326" s="462"/>
      <c r="I326" s="462"/>
      <c r="J326" s="462"/>
      <c r="K326" s="462"/>
      <c r="L326" s="462"/>
      <c r="M326" s="462"/>
      <c r="N326" s="462"/>
      <c r="P326" s="462"/>
      <c r="Q326" s="462"/>
      <c r="R326" s="462"/>
      <c r="S326" s="462"/>
      <c r="T326" s="462"/>
    </row>
    <row r="327" spans="8:20" ht="12.75">
      <c r="H327" s="462"/>
      <c r="I327" s="462"/>
      <c r="J327" s="462"/>
      <c r="K327" s="462"/>
      <c r="L327" s="462"/>
      <c r="M327" s="462"/>
      <c r="N327" s="462"/>
      <c r="P327" s="462"/>
      <c r="Q327" s="462"/>
      <c r="R327" s="462"/>
      <c r="S327" s="462"/>
      <c r="T327" s="462"/>
    </row>
    <row r="328" spans="8:20" ht="12.75">
      <c r="H328" s="462"/>
      <c r="I328" s="462"/>
      <c r="J328" s="462"/>
      <c r="K328" s="462"/>
      <c r="L328" s="462"/>
      <c r="M328" s="462"/>
      <c r="N328" s="462"/>
      <c r="P328" s="462"/>
      <c r="Q328" s="462"/>
      <c r="R328" s="462"/>
      <c r="S328" s="462"/>
      <c r="T328" s="462"/>
    </row>
    <row r="329" spans="8:20" ht="12.75">
      <c r="H329" s="462"/>
      <c r="I329" s="462"/>
      <c r="J329" s="462"/>
      <c r="K329" s="462"/>
      <c r="L329" s="462"/>
      <c r="M329" s="462"/>
      <c r="N329" s="462"/>
      <c r="P329" s="462"/>
      <c r="Q329" s="462"/>
      <c r="R329" s="462"/>
      <c r="S329" s="462"/>
      <c r="T329" s="462"/>
    </row>
    <row r="330" spans="8:20" ht="12.75">
      <c r="H330" s="462"/>
      <c r="I330" s="462"/>
      <c r="J330" s="462"/>
      <c r="K330" s="462"/>
      <c r="L330" s="462"/>
      <c r="M330" s="462"/>
      <c r="N330" s="462"/>
      <c r="P330" s="462"/>
      <c r="Q330" s="462"/>
      <c r="R330" s="462"/>
      <c r="S330" s="462"/>
      <c r="T330" s="462"/>
    </row>
    <row r="331" spans="8:20" ht="12.75">
      <c r="H331" s="462"/>
      <c r="I331" s="462"/>
      <c r="J331" s="462"/>
      <c r="K331" s="462"/>
      <c r="L331" s="462"/>
      <c r="M331" s="462"/>
      <c r="N331" s="462"/>
      <c r="P331" s="462"/>
      <c r="Q331" s="462"/>
      <c r="R331" s="462"/>
      <c r="S331" s="462"/>
      <c r="T331" s="462"/>
    </row>
    <row r="332" spans="8:20" ht="12.75">
      <c r="H332" s="462"/>
      <c r="I332" s="462"/>
      <c r="J332" s="462"/>
      <c r="K332" s="462"/>
      <c r="L332" s="462"/>
      <c r="M332" s="462"/>
      <c r="N332" s="462"/>
      <c r="P332" s="462"/>
      <c r="Q332" s="462"/>
      <c r="R332" s="462"/>
      <c r="S332" s="462"/>
      <c r="T332" s="462"/>
    </row>
    <row r="333" spans="8:20" ht="12.75">
      <c r="H333" s="462"/>
      <c r="I333" s="462"/>
      <c r="J333" s="462"/>
      <c r="K333" s="462"/>
      <c r="L333" s="462"/>
      <c r="M333" s="462"/>
      <c r="N333" s="462"/>
      <c r="P333" s="462"/>
      <c r="Q333" s="462"/>
      <c r="R333" s="462"/>
      <c r="S333" s="462"/>
      <c r="T333" s="462"/>
    </row>
    <row r="334" spans="8:20" ht="12.75">
      <c r="H334" s="462"/>
      <c r="I334" s="462"/>
      <c r="J334" s="462"/>
      <c r="K334" s="462"/>
      <c r="L334" s="462"/>
      <c r="M334" s="462"/>
      <c r="N334" s="462"/>
      <c r="P334" s="462"/>
      <c r="Q334" s="462"/>
      <c r="R334" s="462"/>
      <c r="S334" s="462"/>
      <c r="T334" s="462"/>
    </row>
    <row r="335" spans="8:20" ht="12.75">
      <c r="H335" s="462"/>
      <c r="I335" s="462"/>
      <c r="J335" s="462"/>
      <c r="K335" s="462"/>
      <c r="L335" s="462"/>
      <c r="M335" s="462"/>
      <c r="N335" s="462"/>
      <c r="P335" s="462"/>
      <c r="Q335" s="462"/>
      <c r="R335" s="462"/>
      <c r="S335" s="462"/>
      <c r="T335" s="462"/>
    </row>
    <row r="336" spans="8:20" ht="12.75">
      <c r="H336" s="462"/>
      <c r="I336" s="462"/>
      <c r="J336" s="462"/>
      <c r="K336" s="462"/>
      <c r="L336" s="462"/>
      <c r="M336" s="462"/>
      <c r="N336" s="462"/>
      <c r="P336" s="462"/>
      <c r="Q336" s="462"/>
      <c r="R336" s="462"/>
      <c r="S336" s="462"/>
      <c r="T336" s="462"/>
    </row>
    <row r="337" spans="8:20" ht="12.75">
      <c r="H337" s="462"/>
      <c r="I337" s="462"/>
      <c r="J337" s="462"/>
      <c r="K337" s="462"/>
      <c r="L337" s="462"/>
      <c r="M337" s="462"/>
      <c r="N337" s="462"/>
      <c r="P337" s="462"/>
      <c r="Q337" s="462"/>
      <c r="R337" s="462"/>
      <c r="S337" s="462"/>
      <c r="T337" s="462"/>
    </row>
    <row r="338" spans="8:20" ht="12.75">
      <c r="H338" s="462"/>
      <c r="I338" s="462"/>
      <c r="J338" s="462"/>
      <c r="K338" s="462"/>
      <c r="L338" s="462"/>
      <c r="M338" s="462"/>
      <c r="N338" s="462"/>
      <c r="P338" s="462"/>
      <c r="Q338" s="462"/>
      <c r="R338" s="462"/>
      <c r="S338" s="462"/>
      <c r="T338" s="462"/>
    </row>
    <row r="339" spans="8:20" ht="12.75">
      <c r="H339" s="462"/>
      <c r="I339" s="462"/>
      <c r="J339" s="462"/>
      <c r="K339" s="462"/>
      <c r="L339" s="462"/>
      <c r="M339" s="462"/>
      <c r="N339" s="462"/>
      <c r="P339" s="462"/>
      <c r="Q339" s="462"/>
      <c r="R339" s="462"/>
      <c r="S339" s="462"/>
      <c r="T339" s="462"/>
    </row>
    <row r="340" spans="8:20" ht="12.75">
      <c r="H340" s="462"/>
      <c r="I340" s="462"/>
      <c r="J340" s="462"/>
      <c r="K340" s="462"/>
      <c r="L340" s="462"/>
      <c r="M340" s="462"/>
      <c r="N340" s="462"/>
      <c r="P340" s="462"/>
      <c r="Q340" s="462"/>
      <c r="R340" s="462"/>
      <c r="S340" s="462"/>
      <c r="T340" s="462"/>
    </row>
    <row r="341" spans="8:20" ht="12.75">
      <c r="H341" s="462"/>
      <c r="I341" s="462"/>
      <c r="J341" s="462"/>
      <c r="K341" s="462"/>
      <c r="L341" s="462"/>
      <c r="M341" s="462"/>
      <c r="N341" s="462"/>
      <c r="P341" s="462"/>
      <c r="Q341" s="462"/>
      <c r="R341" s="462"/>
      <c r="S341" s="462"/>
      <c r="T341" s="462"/>
    </row>
    <row r="342" spans="8:20" ht="12.75">
      <c r="H342" s="462"/>
      <c r="I342" s="462"/>
      <c r="J342" s="462"/>
      <c r="K342" s="462"/>
      <c r="L342" s="462"/>
      <c r="M342" s="462"/>
      <c r="N342" s="462"/>
      <c r="P342" s="462"/>
      <c r="Q342" s="462"/>
      <c r="R342" s="462"/>
      <c r="S342" s="462"/>
      <c r="T342" s="462"/>
    </row>
    <row r="343" spans="8:20" ht="12.75">
      <c r="H343" s="462"/>
      <c r="I343" s="462"/>
      <c r="J343" s="462"/>
      <c r="K343" s="462"/>
      <c r="L343" s="462"/>
      <c r="M343" s="462"/>
      <c r="N343" s="462"/>
      <c r="P343" s="462"/>
      <c r="Q343" s="462"/>
      <c r="R343" s="462"/>
      <c r="S343" s="462"/>
      <c r="T343" s="462"/>
    </row>
    <row r="344" spans="8:20" ht="12.75">
      <c r="H344" s="462"/>
      <c r="I344" s="462"/>
      <c r="J344" s="462"/>
      <c r="K344" s="462"/>
      <c r="L344" s="462"/>
      <c r="M344" s="462"/>
      <c r="N344" s="462"/>
      <c r="P344" s="462"/>
      <c r="Q344" s="462"/>
      <c r="R344" s="462"/>
      <c r="S344" s="462"/>
      <c r="T344" s="462"/>
    </row>
    <row r="345" spans="8:20" ht="12.75">
      <c r="H345" s="462"/>
      <c r="I345" s="462"/>
      <c r="J345" s="462"/>
      <c r="K345" s="462"/>
      <c r="L345" s="462"/>
      <c r="M345" s="462"/>
      <c r="N345" s="462"/>
      <c r="P345" s="462"/>
      <c r="Q345" s="462"/>
      <c r="R345" s="462"/>
      <c r="S345" s="462"/>
      <c r="T345" s="462"/>
    </row>
    <row r="346" spans="8:20" ht="12.75">
      <c r="H346" s="462"/>
      <c r="I346" s="462"/>
      <c r="J346" s="462"/>
      <c r="K346" s="462"/>
      <c r="L346" s="462"/>
      <c r="M346" s="462"/>
      <c r="N346" s="462"/>
      <c r="P346" s="462"/>
      <c r="Q346" s="462"/>
      <c r="R346" s="462"/>
      <c r="S346" s="462"/>
      <c r="T346" s="462"/>
    </row>
    <row r="347" spans="8:20" ht="12.75">
      <c r="H347" s="462"/>
      <c r="I347" s="462"/>
      <c r="J347" s="462"/>
      <c r="K347" s="462"/>
      <c r="L347" s="462"/>
      <c r="M347" s="462"/>
      <c r="N347" s="462"/>
      <c r="P347" s="462"/>
      <c r="Q347" s="462"/>
      <c r="R347" s="462"/>
      <c r="S347" s="462"/>
      <c r="T347" s="462"/>
    </row>
    <row r="348" spans="8:20" ht="12.75">
      <c r="H348" s="462"/>
      <c r="I348" s="462"/>
      <c r="J348" s="462"/>
      <c r="K348" s="462"/>
      <c r="L348" s="462"/>
      <c r="M348" s="462"/>
      <c r="N348" s="462"/>
      <c r="P348" s="462"/>
      <c r="Q348" s="462"/>
      <c r="R348" s="462"/>
      <c r="S348" s="462"/>
      <c r="T348" s="462"/>
    </row>
    <row r="349" spans="8:20" ht="12.75">
      <c r="H349" s="462"/>
      <c r="I349" s="462"/>
      <c r="J349" s="462"/>
      <c r="K349" s="462"/>
      <c r="L349" s="462"/>
      <c r="M349" s="462"/>
      <c r="N349" s="462"/>
      <c r="P349" s="462"/>
      <c r="Q349" s="462"/>
      <c r="R349" s="462"/>
      <c r="S349" s="462"/>
      <c r="T349" s="462"/>
    </row>
    <row r="350" spans="8:20" ht="12.75">
      <c r="H350" s="462"/>
      <c r="I350" s="462"/>
      <c r="J350" s="462"/>
      <c r="K350" s="462"/>
      <c r="L350" s="462"/>
      <c r="M350" s="462"/>
      <c r="N350" s="462"/>
      <c r="P350" s="462"/>
      <c r="Q350" s="462"/>
      <c r="R350" s="462"/>
      <c r="S350" s="462"/>
      <c r="T350" s="462"/>
    </row>
    <row r="351" spans="8:20" ht="12.75">
      <c r="H351" s="462"/>
      <c r="I351" s="462"/>
      <c r="J351" s="462"/>
      <c r="K351" s="462"/>
      <c r="L351" s="462"/>
      <c r="M351" s="462"/>
      <c r="N351" s="462"/>
      <c r="P351" s="462"/>
      <c r="Q351" s="462"/>
      <c r="R351" s="462"/>
      <c r="S351" s="462"/>
      <c r="T351" s="462"/>
    </row>
    <row r="352" spans="8:20" ht="12.75">
      <c r="H352" s="462"/>
      <c r="I352" s="462"/>
      <c r="J352" s="462"/>
      <c r="K352" s="462"/>
      <c r="L352" s="462"/>
      <c r="M352" s="462"/>
      <c r="N352" s="462"/>
      <c r="P352" s="462"/>
      <c r="Q352" s="462"/>
      <c r="R352" s="462"/>
      <c r="S352" s="462"/>
      <c r="T352" s="462"/>
    </row>
    <row r="353" spans="8:20" ht="12.75">
      <c r="H353" s="462"/>
      <c r="I353" s="462"/>
      <c r="J353" s="462"/>
      <c r="K353" s="462"/>
      <c r="L353" s="462"/>
      <c r="M353" s="462"/>
      <c r="N353" s="462"/>
      <c r="P353" s="462"/>
      <c r="Q353" s="462"/>
      <c r="R353" s="462"/>
      <c r="S353" s="462"/>
      <c r="T353" s="462"/>
    </row>
    <row r="354" spans="8:20" ht="12.75">
      <c r="H354" s="462"/>
      <c r="I354" s="462"/>
      <c r="J354" s="462"/>
      <c r="K354" s="462"/>
      <c r="L354" s="462"/>
      <c r="M354" s="462"/>
      <c r="N354" s="462"/>
      <c r="P354" s="462"/>
      <c r="Q354" s="462"/>
      <c r="R354" s="462"/>
      <c r="S354" s="462"/>
      <c r="T354" s="462"/>
    </row>
    <row r="355" spans="8:20" ht="12.75">
      <c r="H355" s="462"/>
      <c r="I355" s="462"/>
      <c r="J355" s="462"/>
      <c r="K355" s="462"/>
      <c r="L355" s="462"/>
      <c r="M355" s="462"/>
      <c r="N355" s="462"/>
      <c r="P355" s="462"/>
      <c r="Q355" s="462"/>
      <c r="R355" s="462"/>
      <c r="S355" s="462"/>
      <c r="T355" s="462"/>
    </row>
    <row r="356" spans="8:20" ht="12.75">
      <c r="H356" s="462"/>
      <c r="I356" s="462"/>
      <c r="J356" s="462"/>
      <c r="K356" s="462"/>
      <c r="L356" s="462"/>
      <c r="M356" s="462"/>
      <c r="N356" s="462"/>
      <c r="P356" s="462"/>
      <c r="Q356" s="462"/>
      <c r="R356" s="462"/>
      <c r="S356" s="462"/>
      <c r="T356" s="462"/>
    </row>
    <row r="357" spans="8:20" ht="12.75">
      <c r="H357" s="462"/>
      <c r="I357" s="462"/>
      <c r="J357" s="462"/>
      <c r="K357" s="462"/>
      <c r="L357" s="462"/>
      <c r="M357" s="462"/>
      <c r="N357" s="462"/>
      <c r="P357" s="462"/>
      <c r="Q357" s="462"/>
      <c r="R357" s="462"/>
      <c r="S357" s="462"/>
      <c r="T357" s="462"/>
    </row>
    <row r="358" spans="8:20" ht="12.75">
      <c r="H358" s="462"/>
      <c r="I358" s="462"/>
      <c r="J358" s="462"/>
      <c r="K358" s="462"/>
      <c r="L358" s="462"/>
      <c r="M358" s="462"/>
      <c r="N358" s="462"/>
      <c r="P358" s="462"/>
      <c r="Q358" s="462"/>
      <c r="R358" s="462"/>
      <c r="S358" s="462"/>
      <c r="T358" s="462"/>
    </row>
    <row r="359" spans="8:20" ht="12.75">
      <c r="H359" s="462"/>
      <c r="I359" s="462"/>
      <c r="J359" s="462"/>
      <c r="K359" s="462"/>
      <c r="L359" s="462"/>
      <c r="M359" s="462"/>
      <c r="N359" s="462"/>
      <c r="P359" s="462"/>
      <c r="Q359" s="462"/>
      <c r="R359" s="462"/>
      <c r="S359" s="462"/>
      <c r="T359" s="462"/>
    </row>
    <row r="360" spans="8:20" ht="12.75">
      <c r="H360" s="462"/>
      <c r="I360" s="462"/>
      <c r="J360" s="462"/>
      <c r="K360" s="462"/>
      <c r="L360" s="462"/>
      <c r="M360" s="462"/>
      <c r="N360" s="462"/>
      <c r="P360" s="462"/>
      <c r="Q360" s="462"/>
      <c r="R360" s="462"/>
      <c r="S360" s="462"/>
      <c r="T360" s="462"/>
    </row>
    <row r="361" spans="8:20" ht="12.75">
      <c r="H361" s="462"/>
      <c r="I361" s="462"/>
      <c r="J361" s="462"/>
      <c r="K361" s="462"/>
      <c r="L361" s="462"/>
      <c r="M361" s="462"/>
      <c r="N361" s="462"/>
      <c r="P361" s="462"/>
      <c r="Q361" s="462"/>
      <c r="R361" s="462"/>
      <c r="S361" s="462"/>
      <c r="T361" s="462"/>
    </row>
    <row r="362" spans="8:20" ht="12.75">
      <c r="H362" s="462"/>
      <c r="I362" s="462"/>
      <c r="J362" s="462"/>
      <c r="K362" s="462"/>
      <c r="L362" s="462"/>
      <c r="M362" s="462"/>
      <c r="N362" s="462"/>
      <c r="P362" s="462"/>
      <c r="Q362" s="462"/>
      <c r="R362" s="462"/>
      <c r="S362" s="462"/>
      <c r="T362" s="462"/>
    </row>
    <row r="363" spans="8:20" ht="12.75">
      <c r="H363" s="462"/>
      <c r="I363" s="462"/>
      <c r="J363" s="462"/>
      <c r="K363" s="462"/>
      <c r="L363" s="462"/>
      <c r="M363" s="462"/>
      <c r="N363" s="462"/>
      <c r="P363" s="462"/>
      <c r="Q363" s="462"/>
      <c r="R363" s="462"/>
      <c r="S363" s="462"/>
      <c r="T363" s="462"/>
    </row>
    <row r="364" spans="8:20" ht="12.75">
      <c r="H364" s="462"/>
      <c r="I364" s="462"/>
      <c r="J364" s="462"/>
      <c r="K364" s="462"/>
      <c r="L364" s="462"/>
      <c r="M364" s="462"/>
      <c r="N364" s="462"/>
      <c r="P364" s="462"/>
      <c r="Q364" s="462"/>
      <c r="R364" s="462"/>
      <c r="S364" s="462"/>
      <c r="T364" s="462"/>
    </row>
    <row r="365" spans="8:20" ht="12.75">
      <c r="H365" s="462"/>
      <c r="I365" s="462"/>
      <c r="J365" s="462"/>
      <c r="K365" s="462"/>
      <c r="L365" s="462"/>
      <c r="M365" s="462"/>
      <c r="N365" s="462"/>
      <c r="P365" s="462"/>
      <c r="Q365" s="462"/>
      <c r="R365" s="462"/>
      <c r="S365" s="462"/>
      <c r="T365" s="462"/>
    </row>
    <row r="366" spans="8:20" ht="12.75">
      <c r="H366" s="462"/>
      <c r="I366" s="462"/>
      <c r="J366" s="462"/>
      <c r="K366" s="462"/>
      <c r="L366" s="462"/>
      <c r="M366" s="462"/>
      <c r="N366" s="462"/>
      <c r="P366" s="462"/>
      <c r="Q366" s="462"/>
      <c r="R366" s="462"/>
      <c r="S366" s="462"/>
      <c r="T366" s="462"/>
    </row>
    <row r="367" spans="8:20" ht="12.75">
      <c r="H367" s="462"/>
      <c r="I367" s="462"/>
      <c r="J367" s="462"/>
      <c r="K367" s="462"/>
      <c r="L367" s="462"/>
      <c r="M367" s="462"/>
      <c r="N367" s="462"/>
      <c r="P367" s="462"/>
      <c r="Q367" s="462"/>
      <c r="R367" s="462"/>
      <c r="S367" s="462"/>
      <c r="T367" s="462"/>
    </row>
    <row r="368" spans="8:20" ht="12.75">
      <c r="H368" s="462"/>
      <c r="I368" s="462"/>
      <c r="J368" s="462"/>
      <c r="K368" s="462"/>
      <c r="L368" s="462"/>
      <c r="M368" s="462"/>
      <c r="N368" s="462"/>
      <c r="P368" s="462"/>
      <c r="Q368" s="462"/>
      <c r="R368" s="462"/>
      <c r="S368" s="462"/>
      <c r="T368" s="462"/>
    </row>
    <row r="369" spans="8:20" ht="12.75">
      <c r="H369" s="462"/>
      <c r="I369" s="462"/>
      <c r="J369" s="462"/>
      <c r="K369" s="462"/>
      <c r="L369" s="462"/>
      <c r="M369" s="462"/>
      <c r="N369" s="462"/>
      <c r="P369" s="462"/>
      <c r="Q369" s="462"/>
      <c r="R369" s="462"/>
      <c r="S369" s="462"/>
      <c r="T369" s="462"/>
    </row>
    <row r="370" spans="8:20" ht="12.75">
      <c r="H370" s="462"/>
      <c r="I370" s="462"/>
      <c r="J370" s="462"/>
      <c r="K370" s="462"/>
      <c r="L370" s="462"/>
      <c r="M370" s="462"/>
      <c r="N370" s="462"/>
      <c r="P370" s="462"/>
      <c r="Q370" s="462"/>
      <c r="R370" s="462"/>
      <c r="S370" s="462"/>
      <c r="T370" s="462"/>
    </row>
    <row r="371" spans="8:20" ht="12.75">
      <c r="H371" s="462"/>
      <c r="I371" s="462"/>
      <c r="J371" s="462"/>
      <c r="K371" s="462"/>
      <c r="L371" s="462"/>
      <c r="M371" s="462"/>
      <c r="N371" s="462"/>
      <c r="P371" s="462"/>
      <c r="Q371" s="462"/>
      <c r="R371" s="462"/>
      <c r="S371" s="462"/>
      <c r="T371" s="462"/>
    </row>
    <row r="372" spans="8:20" ht="12.75">
      <c r="H372" s="462"/>
      <c r="I372" s="462"/>
      <c r="J372" s="462"/>
      <c r="K372" s="462"/>
      <c r="L372" s="462"/>
      <c r="M372" s="462"/>
      <c r="N372" s="462"/>
      <c r="P372" s="462"/>
      <c r="Q372" s="462"/>
      <c r="R372" s="462"/>
      <c r="S372" s="462"/>
      <c r="T372" s="462"/>
    </row>
    <row r="373" spans="8:20" ht="12.75">
      <c r="H373" s="462"/>
      <c r="I373" s="462"/>
      <c r="J373" s="462"/>
      <c r="K373" s="462"/>
      <c r="L373" s="462"/>
      <c r="M373" s="462"/>
      <c r="N373" s="462"/>
      <c r="P373" s="462"/>
      <c r="Q373" s="462"/>
      <c r="R373" s="462"/>
      <c r="S373" s="462"/>
      <c r="T373" s="462"/>
    </row>
    <row r="374" spans="8:20" ht="12.75">
      <c r="H374" s="462"/>
      <c r="I374" s="462"/>
      <c r="J374" s="462"/>
      <c r="K374" s="462"/>
      <c r="L374" s="462"/>
      <c r="M374" s="462"/>
      <c r="N374" s="462"/>
      <c r="P374" s="462"/>
      <c r="Q374" s="462"/>
      <c r="R374" s="462"/>
      <c r="S374" s="462"/>
      <c r="T374" s="462"/>
    </row>
    <row r="375" spans="8:20" ht="30">
      <c r="H375" s="508"/>
      <c r="I375" s="509"/>
      <c r="J375" s="462"/>
      <c r="K375" s="462"/>
      <c r="L375" s="462"/>
      <c r="M375" s="510"/>
      <c r="N375" s="510"/>
      <c r="P375" s="462"/>
      <c r="Q375" s="462"/>
      <c r="R375" s="462"/>
      <c r="S375" s="462"/>
      <c r="T375" s="462"/>
    </row>
    <row r="376" spans="8:20" ht="30">
      <c r="H376" s="462"/>
      <c r="I376" s="462"/>
      <c r="J376" s="462"/>
      <c r="K376" s="462"/>
      <c r="L376" s="462"/>
      <c r="M376" s="462"/>
      <c r="N376" s="462"/>
      <c r="O376" s="510"/>
      <c r="P376" s="462"/>
      <c r="Q376" s="462"/>
      <c r="R376" s="462"/>
      <c r="S376" s="462"/>
      <c r="T376" s="462"/>
    </row>
    <row r="377" spans="8:20" ht="18">
      <c r="H377" s="463"/>
      <c r="I377" s="511"/>
      <c r="J377" s="465"/>
      <c r="K377" s="463"/>
      <c r="L377" s="463"/>
      <c r="M377" s="465"/>
      <c r="N377" s="512"/>
      <c r="P377" s="462"/>
      <c r="Q377" s="462"/>
      <c r="R377" s="462"/>
      <c r="S377" s="462"/>
      <c r="T377" s="462"/>
    </row>
    <row r="378" spans="8:20" ht="18">
      <c r="H378" s="501"/>
      <c r="I378" s="501"/>
      <c r="J378" s="501"/>
      <c r="K378" s="501"/>
      <c r="L378" s="527"/>
      <c r="M378" s="528"/>
      <c r="N378" s="462"/>
      <c r="P378" s="513"/>
      <c r="Q378" s="465"/>
      <c r="R378" s="465"/>
      <c r="S378" s="465"/>
      <c r="T378" s="465"/>
    </row>
    <row r="379" spans="8:20" ht="12.75">
      <c r="H379" s="531"/>
      <c r="I379" s="462"/>
      <c r="J379" s="527"/>
      <c r="K379" s="462"/>
      <c r="L379" s="460"/>
      <c r="M379" s="529"/>
      <c r="N379" s="460"/>
      <c r="O379" s="527"/>
      <c r="P379" s="460"/>
      <c r="Q379" s="501"/>
      <c r="R379" s="462"/>
      <c r="S379" s="462"/>
      <c r="T379" s="462"/>
    </row>
    <row r="380" spans="8:20" ht="12.75">
      <c r="H380" s="531"/>
      <c r="I380" s="527"/>
      <c r="J380" s="515"/>
      <c r="K380" s="503"/>
      <c r="L380" s="503"/>
      <c r="M380" s="501"/>
      <c r="N380" s="462"/>
      <c r="O380" s="529"/>
      <c r="P380" s="530"/>
      <c r="Q380" s="501"/>
      <c r="R380" s="462"/>
      <c r="S380" s="462"/>
      <c r="T380" s="462"/>
    </row>
    <row r="381" spans="8:20" ht="12.75">
      <c r="H381" s="503"/>
      <c r="I381" s="503"/>
      <c r="J381" s="501"/>
      <c r="K381" s="527"/>
      <c r="L381" s="503"/>
      <c r="M381" s="501"/>
      <c r="N381" s="462"/>
      <c r="O381" s="460"/>
      <c r="P381" s="518"/>
      <c r="Q381" s="531"/>
      <c r="R381" s="462"/>
      <c r="S381" s="462"/>
      <c r="T381" s="462"/>
    </row>
    <row r="382" spans="8:20" ht="12.75">
      <c r="H382" s="462"/>
      <c r="I382" s="460"/>
      <c r="J382" s="501"/>
      <c r="K382" s="503"/>
      <c r="L382" s="503"/>
      <c r="M382" s="532"/>
      <c r="N382" s="462"/>
      <c r="O382" s="527"/>
      <c r="P382" s="503"/>
      <c r="Q382" s="533"/>
      <c r="R382" s="462"/>
      <c r="S382" s="462"/>
      <c r="T382" s="462"/>
    </row>
    <row r="383" spans="8:20" ht="12.75">
      <c r="H383" s="462"/>
      <c r="I383" s="462"/>
      <c r="J383" s="462"/>
      <c r="K383" s="462"/>
      <c r="L383" s="462"/>
      <c r="M383" s="462"/>
      <c r="N383" s="462"/>
      <c r="O383" s="503"/>
      <c r="P383" s="462"/>
      <c r="Q383" s="462"/>
      <c r="R383" s="462"/>
      <c r="S383" s="462"/>
      <c r="T383" s="462"/>
    </row>
    <row r="384" spans="8:20" ht="12.75">
      <c r="H384" s="462"/>
      <c r="I384" s="460"/>
      <c r="J384" s="514"/>
      <c r="K384" s="520"/>
      <c r="L384" s="520"/>
      <c r="M384" s="520"/>
      <c r="N384" s="520"/>
      <c r="P384" s="462"/>
      <c r="Q384" s="462"/>
      <c r="R384" s="462"/>
      <c r="S384" s="462"/>
      <c r="T384" s="462"/>
    </row>
    <row r="385" spans="8:20" ht="12.75">
      <c r="H385" s="460"/>
      <c r="I385" s="460"/>
      <c r="J385" s="514"/>
      <c r="K385" s="520"/>
      <c r="L385" s="520"/>
      <c r="M385" s="520"/>
      <c r="N385" s="520"/>
      <c r="O385" s="520"/>
      <c r="P385" s="520"/>
      <c r="Q385" s="501"/>
      <c r="R385" s="462"/>
      <c r="S385" s="462"/>
      <c r="T385" s="462"/>
    </row>
    <row r="386" spans="8:20" ht="12.75">
      <c r="H386" s="462"/>
      <c r="I386" s="514"/>
      <c r="J386" s="514"/>
      <c r="K386" s="518"/>
      <c r="L386" s="518"/>
      <c r="M386" s="518"/>
      <c r="N386" s="518"/>
      <c r="O386" s="520"/>
      <c r="P386" s="520"/>
      <c r="Q386" s="520"/>
      <c r="R386" s="501"/>
      <c r="S386" s="501"/>
      <c r="T386" s="501"/>
    </row>
    <row r="387" spans="8:20" ht="12.75">
      <c r="H387" s="462"/>
      <c r="I387" s="514"/>
      <c r="J387" s="514"/>
      <c r="K387" s="515"/>
      <c r="L387" s="515"/>
      <c r="M387" s="515"/>
      <c r="N387" s="515"/>
      <c r="O387" s="518"/>
      <c r="P387" s="518"/>
      <c r="Q387" s="518"/>
      <c r="R387" s="462"/>
      <c r="S387" s="462"/>
      <c r="T387" s="462"/>
    </row>
    <row r="388" spans="8:20" ht="12.75">
      <c r="H388" s="462"/>
      <c r="I388" s="462"/>
      <c r="J388" s="462"/>
      <c r="K388" s="462"/>
      <c r="L388" s="462"/>
      <c r="M388" s="462"/>
      <c r="N388" s="462"/>
      <c r="O388" s="515"/>
      <c r="P388" s="515"/>
      <c r="Q388" s="515"/>
      <c r="R388" s="462"/>
      <c r="S388" s="462"/>
      <c r="T388" s="462"/>
    </row>
    <row r="389" spans="8:20" ht="12.75">
      <c r="H389" s="462"/>
      <c r="I389" s="462"/>
      <c r="J389" s="460"/>
      <c r="K389" s="462"/>
      <c r="L389" s="460"/>
      <c r="M389" s="460"/>
      <c r="N389" s="460"/>
      <c r="P389" s="462"/>
      <c r="Q389" s="462"/>
      <c r="R389" s="462"/>
      <c r="S389" s="462"/>
      <c r="T389" s="462"/>
    </row>
    <row r="390" spans="8:20" ht="12.75">
      <c r="H390" s="460"/>
      <c r="I390" s="460"/>
      <c r="J390" s="460"/>
      <c r="K390" s="503"/>
      <c r="L390" s="460"/>
      <c r="M390" s="460"/>
      <c r="N390" s="460"/>
      <c r="O390" s="460"/>
      <c r="P390" s="460"/>
      <c r="Q390" s="460"/>
      <c r="R390" s="460"/>
      <c r="S390" s="460"/>
      <c r="T390" s="460"/>
    </row>
    <row r="391" spans="8:20" ht="12.75">
      <c r="H391" s="462"/>
      <c r="I391" s="462"/>
      <c r="J391" s="462"/>
      <c r="K391" s="462"/>
      <c r="L391" s="501"/>
      <c r="M391" s="501"/>
      <c r="N391" s="516"/>
      <c r="O391" s="460"/>
      <c r="P391" s="503"/>
      <c r="Q391" s="517"/>
      <c r="R391" s="517"/>
      <c r="S391" s="517"/>
      <c r="T391" s="517"/>
    </row>
    <row r="392" spans="8:20" ht="12.75">
      <c r="H392" s="501"/>
      <c r="I392" s="501"/>
      <c r="J392" s="520"/>
      <c r="K392" s="518"/>
      <c r="L392" s="518"/>
      <c r="M392" s="518"/>
      <c r="N392" s="519"/>
      <c r="P392" s="462"/>
      <c r="Q392" s="520"/>
      <c r="R392" s="521"/>
      <c r="S392" s="521"/>
      <c r="T392" s="521"/>
    </row>
    <row r="393" spans="8:20" ht="12.75">
      <c r="H393" s="501"/>
      <c r="I393" s="501"/>
      <c r="J393" s="520"/>
      <c r="K393" s="518"/>
      <c r="L393" s="501"/>
      <c r="M393" s="518"/>
      <c r="N393" s="462"/>
      <c r="O393" s="515"/>
      <c r="P393" s="501"/>
      <c r="Q393" s="520"/>
      <c r="R393" s="522"/>
      <c r="S393" s="522"/>
      <c r="T393" s="522"/>
    </row>
    <row r="394" spans="8:20" ht="12.75">
      <c r="H394" s="460"/>
      <c r="I394" s="523"/>
      <c r="J394" s="520"/>
      <c r="K394" s="518"/>
      <c r="L394" s="515"/>
      <c r="M394" s="518"/>
      <c r="N394" s="462"/>
      <c r="O394" s="515"/>
      <c r="P394" s="501"/>
      <c r="Q394" s="520"/>
      <c r="R394" s="522"/>
      <c r="S394" s="522"/>
      <c r="T394" s="522"/>
    </row>
    <row r="395" spans="8:20" ht="12.75">
      <c r="H395" s="460"/>
      <c r="I395" s="460"/>
      <c r="J395" s="520"/>
      <c r="K395" s="518"/>
      <c r="L395" s="515"/>
      <c r="M395" s="518"/>
      <c r="N395" s="462"/>
      <c r="O395" s="515"/>
      <c r="P395" s="501"/>
      <c r="Q395" s="520"/>
      <c r="R395" s="522"/>
      <c r="S395" s="522"/>
      <c r="T395" s="522"/>
    </row>
    <row r="396" spans="8:20" ht="12.75">
      <c r="H396" s="501"/>
      <c r="I396" s="501"/>
      <c r="J396" s="520"/>
      <c r="K396" s="518"/>
      <c r="L396" s="518"/>
      <c r="M396" s="518"/>
      <c r="N396" s="519"/>
      <c r="O396" s="515"/>
      <c r="P396" s="501"/>
      <c r="Q396" s="520"/>
      <c r="R396" s="522"/>
      <c r="S396" s="522"/>
      <c r="T396" s="522"/>
    </row>
    <row r="397" spans="8:20" ht="12.75">
      <c r="H397" s="501"/>
      <c r="I397" s="501"/>
      <c r="J397" s="520"/>
      <c r="K397" s="518"/>
      <c r="L397" s="501"/>
      <c r="M397" s="518"/>
      <c r="N397" s="462"/>
      <c r="O397" s="515"/>
      <c r="P397" s="501"/>
      <c r="Q397" s="520"/>
      <c r="R397" s="522"/>
      <c r="S397" s="522"/>
      <c r="T397" s="522"/>
    </row>
    <row r="398" spans="8:20" ht="12.75">
      <c r="H398" s="523"/>
      <c r="I398" s="523"/>
      <c r="J398" s="520"/>
      <c r="K398" s="518"/>
      <c r="L398" s="515"/>
      <c r="M398" s="518"/>
      <c r="N398" s="516"/>
      <c r="O398" s="515"/>
      <c r="P398" s="515"/>
      <c r="Q398" s="520"/>
      <c r="R398" s="522"/>
      <c r="S398" s="522"/>
      <c r="T398" s="522"/>
    </row>
    <row r="399" spans="8:20" ht="12.75">
      <c r="H399" s="501"/>
      <c r="I399" s="460"/>
      <c r="J399" s="520"/>
      <c r="K399" s="518"/>
      <c r="L399" s="515"/>
      <c r="M399" s="518"/>
      <c r="N399" s="462"/>
      <c r="O399" s="515"/>
      <c r="P399" s="501"/>
      <c r="Q399" s="520"/>
      <c r="R399" s="522"/>
      <c r="S399" s="522"/>
      <c r="T399" s="522"/>
    </row>
    <row r="400" spans="8:20" ht="12.75">
      <c r="H400" s="501"/>
      <c r="I400" s="501"/>
      <c r="J400" s="520"/>
      <c r="K400" s="518"/>
      <c r="L400" s="518"/>
      <c r="M400" s="518"/>
      <c r="N400" s="519"/>
      <c r="O400" s="515"/>
      <c r="P400" s="501"/>
      <c r="Q400" s="520"/>
      <c r="R400" s="522"/>
      <c r="S400" s="522"/>
      <c r="T400" s="522"/>
    </row>
    <row r="401" spans="8:20" ht="12.75">
      <c r="H401" s="501"/>
      <c r="I401" s="501"/>
      <c r="J401" s="520"/>
      <c r="K401" s="518"/>
      <c r="L401" s="501"/>
      <c r="M401" s="518"/>
      <c r="N401" s="462"/>
      <c r="O401" s="515"/>
      <c r="P401" s="501"/>
      <c r="Q401" s="520"/>
      <c r="R401" s="522"/>
      <c r="S401" s="522"/>
      <c r="T401" s="522"/>
    </row>
    <row r="402" spans="8:20" ht="12.75">
      <c r="H402" s="523"/>
      <c r="I402" s="523"/>
      <c r="J402" s="520"/>
      <c r="K402" s="518"/>
      <c r="L402" s="515"/>
      <c r="M402" s="518"/>
      <c r="N402" s="462"/>
      <c r="O402" s="515"/>
      <c r="P402" s="501"/>
      <c r="Q402" s="520"/>
      <c r="R402" s="522"/>
      <c r="S402" s="522"/>
      <c r="T402" s="522"/>
    </row>
    <row r="403" spans="8:20" ht="12.75">
      <c r="H403" s="501"/>
      <c r="I403" s="460"/>
      <c r="J403" s="520"/>
      <c r="K403" s="518"/>
      <c r="L403" s="515"/>
      <c r="M403" s="518"/>
      <c r="N403" s="462"/>
      <c r="O403" s="515"/>
      <c r="P403" s="501"/>
      <c r="Q403" s="520"/>
      <c r="R403" s="522"/>
      <c r="S403" s="522"/>
      <c r="T403" s="522"/>
    </row>
    <row r="404" spans="8:20" ht="12.75">
      <c r="H404" s="501"/>
      <c r="I404" s="501"/>
      <c r="J404" s="520"/>
      <c r="K404" s="518"/>
      <c r="L404" s="518"/>
      <c r="M404" s="518"/>
      <c r="N404" s="519"/>
      <c r="O404" s="515"/>
      <c r="P404" s="501"/>
      <c r="Q404" s="520"/>
      <c r="R404" s="522"/>
      <c r="S404" s="522"/>
      <c r="T404" s="522"/>
    </row>
    <row r="405" spans="8:20" ht="12.75">
      <c r="H405" s="501"/>
      <c r="I405" s="501"/>
      <c r="J405" s="520"/>
      <c r="K405" s="518"/>
      <c r="L405" s="501"/>
      <c r="M405" s="518"/>
      <c r="N405" s="462"/>
      <c r="O405" s="515"/>
      <c r="P405" s="501"/>
      <c r="Q405" s="520"/>
      <c r="R405" s="522"/>
      <c r="S405" s="522"/>
      <c r="T405" s="522"/>
    </row>
    <row r="406" spans="8:20" ht="12.75">
      <c r="H406" s="523"/>
      <c r="I406" s="523"/>
      <c r="J406" s="520"/>
      <c r="K406" s="518"/>
      <c r="L406" s="515"/>
      <c r="M406" s="518"/>
      <c r="N406" s="516"/>
      <c r="O406" s="515"/>
      <c r="P406" s="501"/>
      <c r="Q406" s="520"/>
      <c r="R406" s="522"/>
      <c r="S406" s="522"/>
      <c r="T406" s="522"/>
    </row>
    <row r="407" spans="8:20" ht="12.75">
      <c r="H407" s="501"/>
      <c r="I407" s="462"/>
      <c r="J407" s="520"/>
      <c r="K407" s="462"/>
      <c r="L407" s="515"/>
      <c r="M407" s="518"/>
      <c r="N407" s="462"/>
      <c r="O407" s="515"/>
      <c r="P407" s="501"/>
      <c r="Q407" s="520"/>
      <c r="R407" s="522"/>
      <c r="S407" s="522"/>
      <c r="T407" s="522"/>
    </row>
    <row r="408" spans="8:20" ht="12.75">
      <c r="H408" s="501"/>
      <c r="I408" s="501"/>
      <c r="J408" s="520"/>
      <c r="K408" s="518"/>
      <c r="L408" s="518"/>
      <c r="M408" s="518"/>
      <c r="N408" s="519"/>
      <c r="O408" s="515"/>
      <c r="P408" s="501"/>
      <c r="Q408" s="520"/>
      <c r="R408" s="522"/>
      <c r="S408" s="522"/>
      <c r="T408" s="522"/>
    </row>
    <row r="409" spans="8:20" ht="12.75">
      <c r="H409" s="501"/>
      <c r="I409" s="501"/>
      <c r="J409" s="520"/>
      <c r="K409" s="518"/>
      <c r="L409" s="501"/>
      <c r="M409" s="518"/>
      <c r="N409" s="462"/>
      <c r="O409" s="515"/>
      <c r="P409" s="501"/>
      <c r="Q409" s="520"/>
      <c r="R409" s="522"/>
      <c r="S409" s="522"/>
      <c r="T409" s="522"/>
    </row>
    <row r="410" spans="8:20" ht="12.75">
      <c r="H410" s="523"/>
      <c r="I410" s="523"/>
      <c r="J410" s="520"/>
      <c r="K410" s="518"/>
      <c r="L410" s="515"/>
      <c r="M410" s="518"/>
      <c r="N410" s="462"/>
      <c r="O410" s="515"/>
      <c r="P410" s="501"/>
      <c r="Q410" s="520"/>
      <c r="R410" s="522"/>
      <c r="S410" s="522"/>
      <c r="T410" s="522"/>
    </row>
    <row r="411" spans="8:20" ht="12.75">
      <c r="H411" s="501"/>
      <c r="I411" s="460"/>
      <c r="J411" s="520"/>
      <c r="K411" s="518"/>
      <c r="L411" s="515"/>
      <c r="M411" s="518"/>
      <c r="N411" s="462"/>
      <c r="O411" s="515"/>
      <c r="P411" s="501"/>
      <c r="Q411" s="520"/>
      <c r="R411" s="522"/>
      <c r="S411" s="522"/>
      <c r="T411" s="522"/>
    </row>
    <row r="412" spans="8:20" ht="12.75">
      <c r="H412" s="501"/>
      <c r="I412" s="501"/>
      <c r="J412" s="520"/>
      <c r="K412" s="518"/>
      <c r="L412" s="518"/>
      <c r="M412" s="518"/>
      <c r="N412" s="519"/>
      <c r="O412" s="515"/>
      <c r="P412" s="501"/>
      <c r="Q412" s="520"/>
      <c r="R412" s="522"/>
      <c r="S412" s="522"/>
      <c r="T412" s="522"/>
    </row>
    <row r="413" spans="8:20" ht="12.75">
      <c r="H413" s="501"/>
      <c r="I413" s="501"/>
      <c r="J413" s="520"/>
      <c r="K413" s="518"/>
      <c r="L413" s="501"/>
      <c r="M413" s="518"/>
      <c r="N413" s="462"/>
      <c r="O413" s="515"/>
      <c r="P413" s="501"/>
      <c r="Q413" s="520"/>
      <c r="R413" s="522"/>
      <c r="S413" s="522"/>
      <c r="T413" s="522"/>
    </row>
    <row r="414" spans="8:20" ht="12.75">
      <c r="H414" s="523"/>
      <c r="I414" s="523"/>
      <c r="J414" s="520"/>
      <c r="K414" s="518"/>
      <c r="L414" s="515"/>
      <c r="M414" s="518"/>
      <c r="N414" s="462"/>
      <c r="O414" s="515"/>
      <c r="P414" s="501"/>
      <c r="Q414" s="520"/>
      <c r="R414" s="522"/>
      <c r="S414" s="522"/>
      <c r="T414" s="522"/>
    </row>
    <row r="415" spans="8:20" ht="12.75">
      <c r="H415" s="501"/>
      <c r="I415" s="460"/>
      <c r="J415" s="520"/>
      <c r="K415" s="518"/>
      <c r="L415" s="515"/>
      <c r="M415" s="518"/>
      <c r="N415" s="501"/>
      <c r="O415" s="515"/>
      <c r="P415" s="501"/>
      <c r="Q415" s="520"/>
      <c r="R415" s="522"/>
      <c r="S415" s="522"/>
      <c r="T415" s="522"/>
    </row>
    <row r="416" spans="8:20" ht="12.75">
      <c r="H416" s="501"/>
      <c r="I416" s="501"/>
      <c r="J416" s="520"/>
      <c r="K416" s="518"/>
      <c r="L416" s="518"/>
      <c r="M416" s="518"/>
      <c r="N416" s="519"/>
      <c r="O416" s="515"/>
      <c r="P416" s="501"/>
      <c r="Q416" s="520"/>
      <c r="R416" s="522"/>
      <c r="S416" s="522"/>
      <c r="T416" s="522"/>
    </row>
    <row r="417" spans="8:20" ht="12.75">
      <c r="H417" s="501"/>
      <c r="I417" s="501"/>
      <c r="J417" s="520"/>
      <c r="K417" s="518"/>
      <c r="L417" s="501"/>
      <c r="M417" s="518"/>
      <c r="N417" s="462"/>
      <c r="O417" s="515"/>
      <c r="P417" s="501"/>
      <c r="Q417" s="520"/>
      <c r="R417" s="522"/>
      <c r="S417" s="522"/>
      <c r="T417" s="522"/>
    </row>
    <row r="418" spans="8:20" ht="12.75">
      <c r="H418" s="523"/>
      <c r="I418" s="523"/>
      <c r="J418" s="520"/>
      <c r="K418" s="518"/>
      <c r="L418" s="515"/>
      <c r="M418" s="518"/>
      <c r="N418" s="515"/>
      <c r="O418" s="515"/>
      <c r="P418" s="501"/>
      <c r="Q418" s="520"/>
      <c r="R418" s="522"/>
      <c r="S418" s="522"/>
      <c r="T418" s="522"/>
    </row>
    <row r="419" spans="8:20" ht="12.75">
      <c r="H419" s="462"/>
      <c r="I419" s="462"/>
      <c r="J419" s="462"/>
      <c r="K419" s="462"/>
      <c r="L419" s="462"/>
      <c r="M419" s="462"/>
      <c r="N419" s="462"/>
      <c r="O419" s="515"/>
      <c r="P419" s="501"/>
      <c r="Q419" s="520"/>
      <c r="R419" s="522"/>
      <c r="S419" s="522"/>
      <c r="T419" s="522"/>
    </row>
    <row r="420" spans="8:20" ht="12.75">
      <c r="H420" s="462"/>
      <c r="I420" s="460"/>
      <c r="J420" s="462"/>
      <c r="K420" s="462"/>
      <c r="L420" s="460"/>
      <c r="M420" s="462"/>
      <c r="N420" s="462"/>
      <c r="P420" s="462"/>
      <c r="Q420" s="462"/>
      <c r="R420" s="462"/>
      <c r="S420" s="462"/>
      <c r="T420" s="462"/>
    </row>
    <row r="421" spans="8:20" ht="12.75">
      <c r="H421" s="462"/>
      <c r="I421" s="503"/>
      <c r="J421" s="515"/>
      <c r="K421" s="518"/>
      <c r="L421" s="503"/>
      <c r="M421" s="518"/>
      <c r="N421" s="462"/>
      <c r="P421" s="462"/>
      <c r="Q421" s="462"/>
      <c r="R421" s="462"/>
      <c r="S421" s="462"/>
      <c r="T421" s="462"/>
    </row>
    <row r="422" spans="8:20" ht="12.75">
      <c r="H422" s="462"/>
      <c r="I422" s="462"/>
      <c r="J422" s="462"/>
      <c r="K422" s="462"/>
      <c r="L422" s="462"/>
      <c r="M422" s="462"/>
      <c r="N422" s="462"/>
      <c r="O422" s="524"/>
      <c r="P422" s="501"/>
      <c r="Q422" s="501"/>
      <c r="R422" s="506"/>
      <c r="S422" s="506"/>
      <c r="T422" s="506"/>
    </row>
    <row r="423" spans="8:20" ht="12.75">
      <c r="H423" s="462"/>
      <c r="I423" s="503"/>
      <c r="J423" s="462"/>
      <c r="K423" s="462"/>
      <c r="L423" s="462"/>
      <c r="M423" s="462"/>
      <c r="N423" s="462"/>
      <c r="P423" s="462"/>
      <c r="Q423" s="462"/>
      <c r="R423" s="462"/>
      <c r="S423" s="462"/>
      <c r="T423" s="462"/>
    </row>
    <row r="424" spans="8:20" ht="12.75">
      <c r="H424" s="462"/>
      <c r="I424" s="462"/>
      <c r="J424" s="462"/>
      <c r="K424" s="462"/>
      <c r="L424" s="462"/>
      <c r="M424" s="462"/>
      <c r="N424" s="462"/>
      <c r="P424" s="507"/>
      <c r="Q424" s="462"/>
      <c r="R424" s="462"/>
      <c r="S424" s="462"/>
      <c r="T424" s="462"/>
    </row>
    <row r="425" spans="8:20" ht="12.75">
      <c r="H425" s="462"/>
      <c r="I425" s="462"/>
      <c r="J425" s="462"/>
      <c r="K425" s="462"/>
      <c r="L425" s="462"/>
      <c r="M425" s="462"/>
      <c r="N425" s="462"/>
      <c r="P425" s="462"/>
      <c r="Q425" s="462"/>
      <c r="R425" s="462"/>
      <c r="S425" s="462"/>
      <c r="T425" s="462"/>
    </row>
    <row r="426" spans="8:20" ht="30">
      <c r="H426" s="508"/>
      <c r="I426" s="509"/>
      <c r="J426" s="462"/>
      <c r="K426" s="462"/>
      <c r="L426" s="462"/>
      <c r="M426" s="510"/>
      <c r="N426" s="510"/>
      <c r="P426" s="462"/>
      <c r="Q426" s="462"/>
      <c r="R426" s="462"/>
      <c r="S426" s="462"/>
      <c r="T426" s="462"/>
    </row>
    <row r="427" spans="8:20" ht="30">
      <c r="H427" s="462"/>
      <c r="I427" s="462"/>
      <c r="J427" s="462"/>
      <c r="K427" s="462"/>
      <c r="L427" s="462"/>
      <c r="M427" s="462"/>
      <c r="N427" s="462"/>
      <c r="O427" s="510"/>
      <c r="P427" s="462"/>
      <c r="Q427" s="462"/>
      <c r="R427" s="462"/>
      <c r="S427" s="462"/>
      <c r="T427" s="462"/>
    </row>
    <row r="428" spans="8:20" ht="18">
      <c r="H428" s="463"/>
      <c r="I428" s="511"/>
      <c r="J428" s="465"/>
      <c r="K428" s="463"/>
      <c r="L428" s="463"/>
      <c r="M428" s="465"/>
      <c r="N428" s="512"/>
      <c r="P428" s="462"/>
      <c r="Q428" s="462"/>
      <c r="R428" s="462"/>
      <c r="S428" s="462"/>
      <c r="T428" s="462"/>
    </row>
    <row r="429" spans="8:20" ht="18">
      <c r="H429" s="501"/>
      <c r="I429" s="501"/>
      <c r="J429" s="501"/>
      <c r="K429" s="501"/>
      <c r="L429" s="527"/>
      <c r="M429" s="528"/>
      <c r="N429" s="462"/>
      <c r="P429" s="513"/>
      <c r="Q429" s="465"/>
      <c r="R429" s="465"/>
      <c r="S429" s="465"/>
      <c r="T429" s="465"/>
    </row>
    <row r="430" spans="8:20" ht="12.75">
      <c r="H430" s="531"/>
      <c r="I430" s="462"/>
      <c r="J430" s="527"/>
      <c r="K430" s="462"/>
      <c r="L430" s="460"/>
      <c r="M430" s="529"/>
      <c r="N430" s="460"/>
      <c r="O430" s="527"/>
      <c r="P430" s="460"/>
      <c r="Q430" s="501"/>
      <c r="R430" s="462"/>
      <c r="S430" s="462"/>
      <c r="T430" s="462"/>
    </row>
    <row r="431" spans="8:20" ht="12.75">
      <c r="H431" s="531"/>
      <c r="I431" s="527"/>
      <c r="J431" s="515"/>
      <c r="K431" s="503"/>
      <c r="L431" s="503"/>
      <c r="M431" s="501"/>
      <c r="N431" s="462"/>
      <c r="O431" s="529"/>
      <c r="P431" s="530"/>
      <c r="Q431" s="501"/>
      <c r="R431" s="462"/>
      <c r="S431" s="462"/>
      <c r="T431" s="462"/>
    </row>
    <row r="432" spans="8:20" ht="12.75">
      <c r="H432" s="503"/>
      <c r="I432" s="503"/>
      <c r="J432" s="501"/>
      <c r="K432" s="527"/>
      <c r="L432" s="503"/>
      <c r="M432" s="501"/>
      <c r="N432" s="462"/>
      <c r="O432" s="460"/>
      <c r="P432" s="518"/>
      <c r="Q432" s="531"/>
      <c r="R432" s="462"/>
      <c r="S432" s="462"/>
      <c r="T432" s="462"/>
    </row>
    <row r="433" spans="8:20" ht="12.75">
      <c r="H433" s="462"/>
      <c r="I433" s="460"/>
      <c r="J433" s="501"/>
      <c r="K433" s="503"/>
      <c r="L433" s="503"/>
      <c r="M433" s="532"/>
      <c r="N433" s="462"/>
      <c r="O433" s="527"/>
      <c r="P433" s="503"/>
      <c r="Q433" s="533"/>
      <c r="R433" s="462"/>
      <c r="S433" s="462"/>
      <c r="T433" s="462"/>
    </row>
    <row r="434" spans="8:20" ht="12.75">
      <c r="H434" s="462"/>
      <c r="I434" s="462"/>
      <c r="J434" s="462"/>
      <c r="K434" s="462"/>
      <c r="L434" s="462"/>
      <c r="M434" s="462"/>
      <c r="N434" s="462"/>
      <c r="O434" s="503"/>
      <c r="P434" s="462"/>
      <c r="Q434" s="462"/>
      <c r="R434" s="462"/>
      <c r="S434" s="462"/>
      <c r="T434" s="462"/>
    </row>
    <row r="435" spans="8:20" ht="12.75">
      <c r="H435" s="462"/>
      <c r="I435" s="460"/>
      <c r="J435" s="514"/>
      <c r="K435" s="520"/>
      <c r="L435" s="520"/>
      <c r="M435" s="520"/>
      <c r="N435" s="520"/>
      <c r="P435" s="462"/>
      <c r="Q435" s="462"/>
      <c r="R435" s="462"/>
      <c r="S435" s="462"/>
      <c r="T435" s="462"/>
    </row>
    <row r="436" spans="8:20" ht="12.75">
      <c r="H436" s="460"/>
      <c r="I436" s="460"/>
      <c r="J436" s="514"/>
      <c r="K436" s="520"/>
      <c r="L436" s="520"/>
      <c r="M436" s="520"/>
      <c r="N436" s="520"/>
      <c r="O436" s="520"/>
      <c r="P436" s="520"/>
      <c r="Q436" s="501"/>
      <c r="R436" s="462"/>
      <c r="S436" s="462"/>
      <c r="T436" s="462"/>
    </row>
    <row r="437" spans="8:20" ht="12.75">
      <c r="H437" s="462"/>
      <c r="I437" s="514"/>
      <c r="J437" s="514"/>
      <c r="K437" s="518"/>
      <c r="L437" s="518"/>
      <c r="M437" s="518"/>
      <c r="N437" s="518"/>
      <c r="O437" s="520"/>
      <c r="P437" s="520"/>
      <c r="Q437" s="520"/>
      <c r="R437" s="501"/>
      <c r="S437" s="501"/>
      <c r="T437" s="501"/>
    </row>
    <row r="438" spans="8:20" ht="12.75">
      <c r="H438" s="462"/>
      <c r="I438" s="514"/>
      <c r="J438" s="514"/>
      <c r="K438" s="515"/>
      <c r="L438" s="515"/>
      <c r="M438" s="515"/>
      <c r="N438" s="515"/>
      <c r="O438" s="518"/>
      <c r="P438" s="518"/>
      <c r="Q438" s="518"/>
      <c r="R438" s="462"/>
      <c r="S438" s="462"/>
      <c r="T438" s="462"/>
    </row>
    <row r="439" spans="8:20" ht="12.75">
      <c r="H439" s="462"/>
      <c r="I439" s="462"/>
      <c r="J439" s="462"/>
      <c r="K439" s="462"/>
      <c r="L439" s="462"/>
      <c r="M439" s="462"/>
      <c r="N439" s="462"/>
      <c r="O439" s="515"/>
      <c r="P439" s="515"/>
      <c r="Q439" s="515"/>
      <c r="R439" s="462"/>
      <c r="S439" s="462"/>
      <c r="T439" s="462"/>
    </row>
    <row r="440" spans="8:20" ht="12.75">
      <c r="H440" s="462"/>
      <c r="I440" s="462"/>
      <c r="J440" s="460"/>
      <c r="K440" s="462"/>
      <c r="L440" s="460"/>
      <c r="M440" s="460"/>
      <c r="N440" s="460"/>
      <c r="P440" s="462"/>
      <c r="Q440" s="462"/>
      <c r="R440" s="462"/>
      <c r="S440" s="462"/>
      <c r="T440" s="462"/>
    </row>
    <row r="441" spans="8:20" ht="12.75">
      <c r="H441" s="460"/>
      <c r="I441" s="460"/>
      <c r="J441" s="460"/>
      <c r="K441" s="503"/>
      <c r="L441" s="460"/>
      <c r="M441" s="460"/>
      <c r="N441" s="460"/>
      <c r="O441" s="460"/>
      <c r="P441" s="460"/>
      <c r="Q441" s="460"/>
      <c r="R441" s="460"/>
      <c r="S441" s="460"/>
      <c r="T441" s="460"/>
    </row>
    <row r="442" spans="8:20" ht="12.75">
      <c r="H442" s="462"/>
      <c r="I442" s="462"/>
      <c r="J442" s="462"/>
      <c r="K442" s="462"/>
      <c r="L442" s="501"/>
      <c r="M442" s="501"/>
      <c r="N442" s="516"/>
      <c r="O442" s="460"/>
      <c r="P442" s="503"/>
      <c r="Q442" s="517"/>
      <c r="R442" s="517"/>
      <c r="S442" s="517"/>
      <c r="T442" s="517"/>
    </row>
    <row r="443" spans="8:20" ht="12.75">
      <c r="H443" s="501"/>
      <c r="I443" s="501"/>
      <c r="J443" s="520"/>
      <c r="K443" s="518"/>
      <c r="L443" s="518"/>
      <c r="M443" s="518"/>
      <c r="N443" s="519"/>
      <c r="P443" s="462"/>
      <c r="Q443" s="520"/>
      <c r="R443" s="521"/>
      <c r="S443" s="521"/>
      <c r="T443" s="521"/>
    </row>
    <row r="444" spans="8:20" ht="12.75">
      <c r="H444" s="501"/>
      <c r="I444" s="501"/>
      <c r="J444" s="520"/>
      <c r="K444" s="518"/>
      <c r="L444" s="501"/>
      <c r="M444" s="518"/>
      <c r="N444" s="462"/>
      <c r="O444" s="515"/>
      <c r="P444" s="501"/>
      <c r="Q444" s="520"/>
      <c r="R444" s="522"/>
      <c r="S444" s="522"/>
      <c r="T444" s="522"/>
    </row>
    <row r="445" spans="8:20" ht="12.75">
      <c r="H445" s="460"/>
      <c r="I445" s="523"/>
      <c r="J445" s="520"/>
      <c r="K445" s="518"/>
      <c r="L445" s="515"/>
      <c r="M445" s="518"/>
      <c r="N445" s="462"/>
      <c r="O445" s="515"/>
      <c r="P445" s="501"/>
      <c r="Q445" s="520"/>
      <c r="R445" s="522"/>
      <c r="S445" s="522"/>
      <c r="T445" s="522"/>
    </row>
    <row r="446" spans="8:20" ht="12.75">
      <c r="H446" s="460"/>
      <c r="I446" s="460"/>
      <c r="J446" s="520"/>
      <c r="K446" s="518"/>
      <c r="L446" s="515"/>
      <c r="M446" s="518"/>
      <c r="N446" s="462"/>
      <c r="O446" s="515"/>
      <c r="P446" s="501"/>
      <c r="Q446" s="520"/>
      <c r="R446" s="522"/>
      <c r="S446" s="522"/>
      <c r="T446" s="522"/>
    </row>
    <row r="447" spans="8:20" ht="12.75">
      <c r="H447" s="501"/>
      <c r="I447" s="501"/>
      <c r="J447" s="520"/>
      <c r="K447" s="518"/>
      <c r="L447" s="518"/>
      <c r="M447" s="518"/>
      <c r="N447" s="519"/>
      <c r="O447" s="515"/>
      <c r="P447" s="501"/>
      <c r="Q447" s="520"/>
      <c r="R447" s="522"/>
      <c r="S447" s="522"/>
      <c r="T447" s="522"/>
    </row>
    <row r="448" spans="8:20" ht="12.75">
      <c r="H448" s="501"/>
      <c r="I448" s="501"/>
      <c r="J448" s="520"/>
      <c r="K448" s="518"/>
      <c r="L448" s="501"/>
      <c r="M448" s="518"/>
      <c r="N448" s="462"/>
      <c r="O448" s="515"/>
      <c r="P448" s="501"/>
      <c r="Q448" s="520"/>
      <c r="R448" s="522"/>
      <c r="S448" s="522"/>
      <c r="T448" s="522"/>
    </row>
    <row r="449" spans="8:20" ht="12.75">
      <c r="H449" s="523"/>
      <c r="I449" s="523"/>
      <c r="J449" s="520"/>
      <c r="K449" s="518"/>
      <c r="L449" s="515"/>
      <c r="M449" s="518"/>
      <c r="N449" s="516"/>
      <c r="O449" s="515"/>
      <c r="P449" s="515"/>
      <c r="Q449" s="520"/>
      <c r="R449" s="522"/>
      <c r="S449" s="522"/>
      <c r="T449" s="522"/>
    </row>
    <row r="450" spans="8:20" ht="12.75">
      <c r="H450" s="501"/>
      <c r="I450" s="460"/>
      <c r="J450" s="520"/>
      <c r="K450" s="518"/>
      <c r="L450" s="515"/>
      <c r="M450" s="518"/>
      <c r="N450" s="462"/>
      <c r="O450" s="515"/>
      <c r="P450" s="501"/>
      <c r="Q450" s="520"/>
      <c r="R450" s="522"/>
      <c r="S450" s="522"/>
      <c r="T450" s="522"/>
    </row>
    <row r="451" spans="8:20" ht="12.75">
      <c r="H451" s="501"/>
      <c r="I451" s="501"/>
      <c r="J451" s="520"/>
      <c r="K451" s="518"/>
      <c r="L451" s="518"/>
      <c r="M451" s="518"/>
      <c r="N451" s="519"/>
      <c r="O451" s="515"/>
      <c r="P451" s="501"/>
      <c r="Q451" s="520"/>
      <c r="R451" s="522"/>
      <c r="S451" s="522"/>
      <c r="T451" s="522"/>
    </row>
    <row r="452" spans="8:20" ht="12.75">
      <c r="H452" s="501"/>
      <c r="I452" s="501"/>
      <c r="J452" s="520"/>
      <c r="K452" s="518"/>
      <c r="L452" s="501"/>
      <c r="M452" s="518"/>
      <c r="N452" s="462"/>
      <c r="O452" s="515"/>
      <c r="P452" s="501"/>
      <c r="Q452" s="520"/>
      <c r="R452" s="522"/>
      <c r="S452" s="522"/>
      <c r="T452" s="522"/>
    </row>
    <row r="453" spans="8:20" ht="12.75">
      <c r="H453" s="523"/>
      <c r="I453" s="523"/>
      <c r="J453" s="520"/>
      <c r="K453" s="518"/>
      <c r="L453" s="515"/>
      <c r="M453" s="518"/>
      <c r="N453" s="462"/>
      <c r="O453" s="515"/>
      <c r="P453" s="501"/>
      <c r="Q453" s="520"/>
      <c r="R453" s="522"/>
      <c r="S453" s="522"/>
      <c r="T453" s="522"/>
    </row>
    <row r="454" spans="8:20" ht="12.75">
      <c r="H454" s="501"/>
      <c r="I454" s="460"/>
      <c r="J454" s="520"/>
      <c r="K454" s="518"/>
      <c r="L454" s="515"/>
      <c r="M454" s="518"/>
      <c r="N454" s="462"/>
      <c r="O454" s="515"/>
      <c r="P454" s="501"/>
      <c r="Q454" s="520"/>
      <c r="R454" s="522"/>
      <c r="S454" s="522"/>
      <c r="T454" s="522"/>
    </row>
    <row r="455" spans="8:20" ht="12.75">
      <c r="H455" s="501"/>
      <c r="I455" s="501"/>
      <c r="J455" s="520"/>
      <c r="K455" s="518"/>
      <c r="L455" s="518"/>
      <c r="M455" s="518"/>
      <c r="N455" s="519"/>
      <c r="O455" s="515"/>
      <c r="P455" s="501"/>
      <c r="Q455" s="520"/>
      <c r="R455" s="522"/>
      <c r="S455" s="522"/>
      <c r="T455" s="522"/>
    </row>
    <row r="456" spans="8:20" ht="12.75">
      <c r="H456" s="501"/>
      <c r="I456" s="501"/>
      <c r="J456" s="520"/>
      <c r="K456" s="518"/>
      <c r="L456" s="501"/>
      <c r="M456" s="518"/>
      <c r="N456" s="462"/>
      <c r="O456" s="515"/>
      <c r="P456" s="501"/>
      <c r="Q456" s="520"/>
      <c r="R456" s="522"/>
      <c r="S456" s="522"/>
      <c r="T456" s="522"/>
    </row>
    <row r="457" spans="8:20" ht="12.75">
      <c r="H457" s="523"/>
      <c r="I457" s="523"/>
      <c r="J457" s="520"/>
      <c r="K457" s="518"/>
      <c r="L457" s="515"/>
      <c r="M457" s="518"/>
      <c r="N457" s="516"/>
      <c r="O457" s="515"/>
      <c r="P457" s="501"/>
      <c r="Q457" s="520"/>
      <c r="R457" s="522"/>
      <c r="S457" s="522"/>
      <c r="T457" s="522"/>
    </row>
    <row r="458" spans="8:20" ht="12.75">
      <c r="H458" s="501"/>
      <c r="I458" s="462"/>
      <c r="J458" s="520"/>
      <c r="K458" s="462"/>
      <c r="L458" s="515"/>
      <c r="M458" s="518"/>
      <c r="N458" s="462"/>
      <c r="O458" s="515"/>
      <c r="P458" s="501"/>
      <c r="Q458" s="520"/>
      <c r="R458" s="522"/>
      <c r="S458" s="522"/>
      <c r="T458" s="522"/>
    </row>
    <row r="459" spans="8:20" ht="12.75">
      <c r="H459" s="501"/>
      <c r="I459" s="501"/>
      <c r="J459" s="520"/>
      <c r="K459" s="518"/>
      <c r="L459" s="518"/>
      <c r="M459" s="518"/>
      <c r="N459" s="519"/>
      <c r="O459" s="515"/>
      <c r="P459" s="501"/>
      <c r="Q459" s="520"/>
      <c r="R459" s="522"/>
      <c r="S459" s="522"/>
      <c r="T459" s="522"/>
    </row>
    <row r="460" spans="8:20" ht="12.75">
      <c r="H460" s="501"/>
      <c r="I460" s="501"/>
      <c r="J460" s="520"/>
      <c r="K460" s="518"/>
      <c r="L460" s="501"/>
      <c r="M460" s="518"/>
      <c r="N460" s="462"/>
      <c r="O460" s="515"/>
      <c r="P460" s="501"/>
      <c r="Q460" s="520"/>
      <c r="R460" s="522"/>
      <c r="S460" s="522"/>
      <c r="T460" s="522"/>
    </row>
    <row r="461" spans="8:20" ht="12.75">
      <c r="H461" s="523"/>
      <c r="I461" s="523"/>
      <c r="J461" s="520"/>
      <c r="K461" s="518"/>
      <c r="L461" s="515"/>
      <c r="M461" s="518"/>
      <c r="N461" s="462"/>
      <c r="O461" s="515"/>
      <c r="P461" s="501"/>
      <c r="Q461" s="520"/>
      <c r="R461" s="522"/>
      <c r="S461" s="522"/>
      <c r="T461" s="522"/>
    </row>
    <row r="462" spans="8:20" ht="12.75">
      <c r="H462" s="501"/>
      <c r="I462" s="460"/>
      <c r="J462" s="520"/>
      <c r="K462" s="518"/>
      <c r="L462" s="515"/>
      <c r="M462" s="518"/>
      <c r="N462" s="462"/>
      <c r="O462" s="515"/>
      <c r="P462" s="501"/>
      <c r="Q462" s="520"/>
      <c r="R462" s="522"/>
      <c r="S462" s="522"/>
      <c r="T462" s="522"/>
    </row>
    <row r="463" spans="8:20" ht="12.75">
      <c r="H463" s="501"/>
      <c r="I463" s="501"/>
      <c r="J463" s="520"/>
      <c r="K463" s="518"/>
      <c r="L463" s="518"/>
      <c r="M463" s="518"/>
      <c r="N463" s="519"/>
      <c r="O463" s="515"/>
      <c r="P463" s="501"/>
      <c r="Q463" s="520"/>
      <c r="R463" s="522"/>
      <c r="S463" s="522"/>
      <c r="T463" s="522"/>
    </row>
    <row r="464" spans="8:20" ht="12.75">
      <c r="H464" s="501"/>
      <c r="I464" s="501"/>
      <c r="J464" s="520"/>
      <c r="K464" s="518"/>
      <c r="L464" s="501"/>
      <c r="M464" s="518"/>
      <c r="N464" s="462"/>
      <c r="O464" s="515"/>
      <c r="P464" s="501"/>
      <c r="Q464" s="520"/>
      <c r="R464" s="522"/>
      <c r="S464" s="522"/>
      <c r="T464" s="522"/>
    </row>
    <row r="465" spans="8:20" ht="12.75">
      <c r="H465" s="523"/>
      <c r="I465" s="523"/>
      <c r="J465" s="520"/>
      <c r="K465" s="518"/>
      <c r="L465" s="515"/>
      <c r="M465" s="518"/>
      <c r="N465" s="462"/>
      <c r="O465" s="515"/>
      <c r="P465" s="501"/>
      <c r="Q465" s="520"/>
      <c r="R465" s="522"/>
      <c r="S465" s="522"/>
      <c r="T465" s="522"/>
    </row>
    <row r="466" spans="8:20" ht="12.75">
      <c r="H466" s="501"/>
      <c r="I466" s="460"/>
      <c r="J466" s="520"/>
      <c r="K466" s="518"/>
      <c r="L466" s="515"/>
      <c r="M466" s="518"/>
      <c r="N466" s="501"/>
      <c r="O466" s="515"/>
      <c r="P466" s="501"/>
      <c r="Q466" s="520"/>
      <c r="R466" s="522"/>
      <c r="S466" s="522"/>
      <c r="T466" s="522"/>
    </row>
    <row r="467" spans="8:20" ht="12.75">
      <c r="H467" s="501"/>
      <c r="I467" s="501"/>
      <c r="J467" s="520"/>
      <c r="K467" s="518"/>
      <c r="L467" s="518"/>
      <c r="M467" s="518"/>
      <c r="N467" s="519"/>
      <c r="O467" s="515"/>
      <c r="P467" s="501"/>
      <c r="Q467" s="520"/>
      <c r="R467" s="522"/>
      <c r="S467" s="522"/>
      <c r="T467" s="522"/>
    </row>
    <row r="468" spans="8:20" ht="12.75">
      <c r="H468" s="501"/>
      <c r="I468" s="501"/>
      <c r="J468" s="520"/>
      <c r="K468" s="518"/>
      <c r="L468" s="501"/>
      <c r="M468" s="518"/>
      <c r="N468" s="462"/>
      <c r="O468" s="515"/>
      <c r="P468" s="501"/>
      <c r="Q468" s="520"/>
      <c r="R468" s="522"/>
      <c r="S468" s="522"/>
      <c r="T468" s="522"/>
    </row>
    <row r="469" spans="8:20" ht="12.75">
      <c r="H469" s="523"/>
      <c r="I469" s="523"/>
      <c r="J469" s="520"/>
      <c r="K469" s="518"/>
      <c r="L469" s="515"/>
      <c r="M469" s="518"/>
      <c r="N469" s="515"/>
      <c r="O469" s="515"/>
      <c r="P469" s="501"/>
      <c r="Q469" s="520"/>
      <c r="R469" s="522"/>
      <c r="S469" s="522"/>
      <c r="T469" s="522"/>
    </row>
    <row r="470" spans="8:20" ht="12.75">
      <c r="H470" s="462"/>
      <c r="I470" s="462"/>
      <c r="J470" s="462"/>
      <c r="K470" s="462"/>
      <c r="L470" s="462"/>
      <c r="M470" s="462"/>
      <c r="N470" s="462"/>
      <c r="O470" s="515"/>
      <c r="P470" s="501"/>
      <c r="Q470" s="520"/>
      <c r="R470" s="522"/>
      <c r="S470" s="522"/>
      <c r="T470" s="522"/>
    </row>
    <row r="471" spans="8:20" ht="12.75">
      <c r="H471" s="462"/>
      <c r="I471" s="460"/>
      <c r="J471" s="462"/>
      <c r="K471" s="462"/>
      <c r="L471" s="460"/>
      <c r="M471" s="462"/>
      <c r="N471" s="462"/>
      <c r="P471" s="462"/>
      <c r="Q471" s="462"/>
      <c r="R471" s="462"/>
      <c r="S471" s="462"/>
      <c r="T471" s="462"/>
    </row>
    <row r="472" spans="8:20" ht="12.75">
      <c r="H472" s="462"/>
      <c r="I472" s="503"/>
      <c r="J472" s="515"/>
      <c r="K472" s="518"/>
      <c r="L472" s="503"/>
      <c r="M472" s="518"/>
      <c r="N472" s="462"/>
      <c r="P472" s="462"/>
      <c r="Q472" s="462"/>
      <c r="R472" s="462"/>
      <c r="S472" s="462"/>
      <c r="T472" s="462"/>
    </row>
    <row r="473" spans="8:20" ht="12.75">
      <c r="H473" s="462"/>
      <c r="I473" s="462"/>
      <c r="J473" s="462"/>
      <c r="K473" s="462"/>
      <c r="L473" s="462"/>
      <c r="M473" s="462"/>
      <c r="N473" s="462"/>
      <c r="O473" s="524"/>
      <c r="P473" s="501"/>
      <c r="Q473" s="501"/>
      <c r="R473" s="506"/>
      <c r="S473" s="506"/>
      <c r="T473" s="506"/>
    </row>
    <row r="474" spans="8:20" ht="12.75">
      <c r="H474" s="462"/>
      <c r="I474" s="462"/>
      <c r="J474" s="462"/>
      <c r="K474" s="462"/>
      <c r="L474" s="462"/>
      <c r="M474" s="462"/>
      <c r="N474" s="462"/>
      <c r="P474" s="462"/>
      <c r="Q474" s="462"/>
      <c r="R474" s="462"/>
      <c r="S474" s="462"/>
      <c r="T474" s="462"/>
    </row>
    <row r="475" spans="8:20" ht="12.75">
      <c r="H475" s="462"/>
      <c r="I475" s="462"/>
      <c r="J475" s="462"/>
      <c r="K475" s="462"/>
      <c r="L475" s="462"/>
      <c r="M475" s="462"/>
      <c r="N475" s="462"/>
      <c r="P475" s="462"/>
      <c r="Q475" s="462"/>
      <c r="R475" s="462"/>
      <c r="S475" s="462"/>
      <c r="T475" s="462"/>
    </row>
    <row r="476" spans="8:20" ht="30">
      <c r="H476" s="508"/>
      <c r="I476" s="509"/>
      <c r="J476" s="462"/>
      <c r="K476" s="462"/>
      <c r="L476" s="462"/>
      <c r="M476" s="510"/>
      <c r="N476" s="510"/>
      <c r="P476" s="462"/>
      <c r="Q476" s="462"/>
      <c r="R476" s="462"/>
      <c r="S476" s="462"/>
      <c r="T476" s="462"/>
    </row>
    <row r="477" spans="8:20" ht="30">
      <c r="H477" s="462"/>
      <c r="I477" s="462"/>
      <c r="J477" s="462"/>
      <c r="K477" s="462"/>
      <c r="L477" s="462"/>
      <c r="M477" s="462"/>
      <c r="N477" s="462"/>
      <c r="O477" s="510"/>
      <c r="P477" s="462"/>
      <c r="Q477" s="462"/>
      <c r="R477" s="462"/>
      <c r="S477" s="462"/>
      <c r="T477" s="462"/>
    </row>
    <row r="478" spans="8:20" ht="18">
      <c r="H478" s="463"/>
      <c r="I478" s="511"/>
      <c r="J478" s="465"/>
      <c r="K478" s="463"/>
      <c r="L478" s="463"/>
      <c r="M478" s="465"/>
      <c r="N478" s="512"/>
      <c r="P478" s="462"/>
      <c r="Q478" s="462"/>
      <c r="R478" s="462"/>
      <c r="S478" s="462"/>
      <c r="T478" s="462"/>
    </row>
    <row r="479" spans="8:20" ht="18">
      <c r="H479" s="501"/>
      <c r="I479" s="501"/>
      <c r="J479" s="501"/>
      <c r="K479" s="501"/>
      <c r="L479" s="527"/>
      <c r="M479" s="528"/>
      <c r="N479" s="462"/>
      <c r="P479" s="513"/>
      <c r="Q479" s="465"/>
      <c r="R479" s="465"/>
      <c r="S479" s="465"/>
      <c r="T479" s="465"/>
    </row>
    <row r="480" spans="8:20" ht="12.75">
      <c r="H480" s="531"/>
      <c r="I480" s="462"/>
      <c r="J480" s="527"/>
      <c r="K480" s="462"/>
      <c r="L480" s="460"/>
      <c r="M480" s="529"/>
      <c r="N480" s="460"/>
      <c r="O480" s="527"/>
      <c r="P480" s="460"/>
      <c r="Q480" s="501"/>
      <c r="R480" s="462"/>
      <c r="S480" s="462"/>
      <c r="T480" s="462"/>
    </row>
    <row r="481" spans="8:20" ht="12.75">
      <c r="H481" s="531"/>
      <c r="I481" s="527"/>
      <c r="J481" s="515"/>
      <c r="K481" s="503"/>
      <c r="L481" s="503"/>
      <c r="M481" s="501"/>
      <c r="N481" s="462"/>
      <c r="O481" s="529"/>
      <c r="P481" s="530"/>
      <c r="Q481" s="501"/>
      <c r="R481" s="462"/>
      <c r="S481" s="462"/>
      <c r="T481" s="462"/>
    </row>
    <row r="482" spans="8:20" ht="12.75">
      <c r="H482" s="503"/>
      <c r="I482" s="503"/>
      <c r="J482" s="501"/>
      <c r="K482" s="527"/>
      <c r="L482" s="503"/>
      <c r="M482" s="501"/>
      <c r="N482" s="462"/>
      <c r="O482" s="460"/>
      <c r="P482" s="518"/>
      <c r="Q482" s="531"/>
      <c r="R482" s="462"/>
      <c r="S482" s="462"/>
      <c r="T482" s="462"/>
    </row>
    <row r="483" spans="8:20" ht="12.75">
      <c r="H483" s="462"/>
      <c r="I483" s="460"/>
      <c r="J483" s="501"/>
      <c r="K483" s="503"/>
      <c r="L483" s="503"/>
      <c r="M483" s="532"/>
      <c r="N483" s="462"/>
      <c r="O483" s="527"/>
      <c r="P483" s="503"/>
      <c r="Q483" s="533"/>
      <c r="R483" s="462"/>
      <c r="S483" s="462"/>
      <c r="T483" s="462"/>
    </row>
    <row r="484" spans="8:20" ht="12.75">
      <c r="H484" s="462"/>
      <c r="I484" s="462"/>
      <c r="J484" s="462"/>
      <c r="K484" s="462"/>
      <c r="L484" s="462"/>
      <c r="M484" s="462"/>
      <c r="N484" s="462"/>
      <c r="O484" s="503"/>
      <c r="P484" s="462"/>
      <c r="Q484" s="462"/>
      <c r="R484" s="462"/>
      <c r="S484" s="462"/>
      <c r="T484" s="462"/>
    </row>
    <row r="485" spans="8:20" ht="12.75">
      <c r="H485" s="462"/>
      <c r="I485" s="460"/>
      <c r="J485" s="514"/>
      <c r="K485" s="520"/>
      <c r="L485" s="520"/>
      <c r="M485" s="520"/>
      <c r="N485" s="520"/>
      <c r="P485" s="462"/>
      <c r="Q485" s="462"/>
      <c r="R485" s="462"/>
      <c r="S485" s="462"/>
      <c r="T485" s="462"/>
    </row>
    <row r="486" spans="8:20" ht="12.75">
      <c r="H486" s="460"/>
      <c r="I486" s="460"/>
      <c r="J486" s="514"/>
      <c r="K486" s="520"/>
      <c r="L486" s="520"/>
      <c r="M486" s="520"/>
      <c r="N486" s="520"/>
      <c r="O486" s="520"/>
      <c r="P486" s="520"/>
      <c r="Q486" s="501"/>
      <c r="R486" s="462"/>
      <c r="S486" s="462"/>
      <c r="T486" s="462"/>
    </row>
    <row r="487" spans="8:20" ht="12.75">
      <c r="H487" s="462"/>
      <c r="I487" s="514"/>
      <c r="J487" s="514"/>
      <c r="K487" s="518"/>
      <c r="L487" s="518"/>
      <c r="M487" s="518"/>
      <c r="N487" s="518"/>
      <c r="O487" s="520"/>
      <c r="P487" s="520"/>
      <c r="Q487" s="520"/>
      <c r="R487" s="501"/>
      <c r="S487" s="501"/>
      <c r="T487" s="501"/>
    </row>
    <row r="488" spans="8:20" ht="12.75">
      <c r="H488" s="462"/>
      <c r="I488" s="514"/>
      <c r="J488" s="514"/>
      <c r="K488" s="515"/>
      <c r="L488" s="515"/>
      <c r="M488" s="515"/>
      <c r="N488" s="515"/>
      <c r="O488" s="518"/>
      <c r="P488" s="518"/>
      <c r="Q488" s="518"/>
      <c r="R488" s="462"/>
      <c r="S488" s="462"/>
      <c r="T488" s="462"/>
    </row>
    <row r="489" spans="8:20" ht="12.75">
      <c r="H489" s="462"/>
      <c r="I489" s="462"/>
      <c r="J489" s="462"/>
      <c r="K489" s="462"/>
      <c r="L489" s="462"/>
      <c r="M489" s="462"/>
      <c r="N489" s="462"/>
      <c r="O489" s="515"/>
      <c r="P489" s="515"/>
      <c r="Q489" s="515"/>
      <c r="R489" s="462"/>
      <c r="S489" s="462"/>
      <c r="T489" s="462"/>
    </row>
    <row r="490" spans="8:20" ht="12.75">
      <c r="H490" s="462"/>
      <c r="I490" s="462"/>
      <c r="J490" s="460"/>
      <c r="K490" s="462"/>
      <c r="L490" s="460"/>
      <c r="M490" s="460"/>
      <c r="N490" s="460"/>
      <c r="P490" s="462"/>
      <c r="Q490" s="462"/>
      <c r="R490" s="462"/>
      <c r="S490" s="462"/>
      <c r="T490" s="462"/>
    </row>
    <row r="491" spans="8:20" ht="12.75">
      <c r="H491" s="460"/>
      <c r="I491" s="460"/>
      <c r="J491" s="460"/>
      <c r="K491" s="503"/>
      <c r="L491" s="460"/>
      <c r="M491" s="460"/>
      <c r="N491" s="460"/>
      <c r="O491" s="460"/>
      <c r="P491" s="460"/>
      <c r="Q491" s="460"/>
      <c r="R491" s="460"/>
      <c r="S491" s="460"/>
      <c r="T491" s="460"/>
    </row>
    <row r="492" spans="8:20" ht="12.75">
      <c r="H492" s="462"/>
      <c r="I492" s="462"/>
      <c r="J492" s="462"/>
      <c r="K492" s="462"/>
      <c r="L492" s="501"/>
      <c r="M492" s="501"/>
      <c r="N492" s="516"/>
      <c r="O492" s="460"/>
      <c r="P492" s="503"/>
      <c r="Q492" s="517"/>
      <c r="R492" s="517"/>
      <c r="S492" s="517"/>
      <c r="T492" s="517"/>
    </row>
    <row r="493" spans="8:20" ht="12.75">
      <c r="H493" s="501"/>
      <c r="I493" s="501"/>
      <c r="J493" s="520"/>
      <c r="K493" s="518"/>
      <c r="L493" s="518"/>
      <c r="M493" s="518"/>
      <c r="N493" s="519"/>
      <c r="P493" s="462"/>
      <c r="Q493" s="520"/>
      <c r="R493" s="521"/>
      <c r="S493" s="521"/>
      <c r="T493" s="521"/>
    </row>
    <row r="494" spans="8:20" ht="12.75">
      <c r="H494" s="501"/>
      <c r="I494" s="501"/>
      <c r="J494" s="520"/>
      <c r="K494" s="518"/>
      <c r="L494" s="501"/>
      <c r="M494" s="518"/>
      <c r="N494" s="462"/>
      <c r="O494" s="515"/>
      <c r="P494" s="501"/>
      <c r="Q494" s="520"/>
      <c r="R494" s="522"/>
      <c r="S494" s="522"/>
      <c r="T494" s="522"/>
    </row>
    <row r="495" spans="8:20" ht="12.75">
      <c r="H495" s="460"/>
      <c r="I495" s="523"/>
      <c r="J495" s="520"/>
      <c r="K495" s="518"/>
      <c r="L495" s="515"/>
      <c r="M495" s="518"/>
      <c r="N495" s="462"/>
      <c r="O495" s="515"/>
      <c r="P495" s="501"/>
      <c r="Q495" s="520"/>
      <c r="R495" s="522"/>
      <c r="S495" s="522"/>
      <c r="T495" s="522"/>
    </row>
    <row r="496" spans="8:20" ht="12.75">
      <c r="H496" s="460"/>
      <c r="I496" s="460"/>
      <c r="J496" s="520"/>
      <c r="K496" s="518"/>
      <c r="L496" s="515"/>
      <c r="M496" s="518"/>
      <c r="N496" s="462"/>
      <c r="O496" s="515"/>
      <c r="P496" s="501"/>
      <c r="Q496" s="520"/>
      <c r="R496" s="522"/>
      <c r="S496" s="522"/>
      <c r="T496" s="522"/>
    </row>
    <row r="497" spans="8:20" ht="12.75">
      <c r="H497" s="501"/>
      <c r="I497" s="501"/>
      <c r="J497" s="520"/>
      <c r="K497" s="518"/>
      <c r="L497" s="518"/>
      <c r="M497" s="518"/>
      <c r="N497" s="519"/>
      <c r="O497" s="515"/>
      <c r="P497" s="501"/>
      <c r="Q497" s="520"/>
      <c r="R497" s="522"/>
      <c r="S497" s="522"/>
      <c r="T497" s="522"/>
    </row>
    <row r="498" spans="8:20" ht="12.75">
      <c r="H498" s="501"/>
      <c r="I498" s="501"/>
      <c r="J498" s="520"/>
      <c r="K498" s="518"/>
      <c r="L498" s="501"/>
      <c r="M498" s="518"/>
      <c r="N498" s="462"/>
      <c r="O498" s="515"/>
      <c r="P498" s="501"/>
      <c r="Q498" s="520"/>
      <c r="R498" s="522"/>
      <c r="S498" s="522"/>
      <c r="T498" s="522"/>
    </row>
    <row r="499" spans="8:20" ht="12.75">
      <c r="H499" s="523"/>
      <c r="I499" s="523"/>
      <c r="J499" s="520"/>
      <c r="K499" s="518"/>
      <c r="L499" s="515"/>
      <c r="M499" s="518"/>
      <c r="N499" s="516"/>
      <c r="O499" s="515"/>
      <c r="P499" s="515"/>
      <c r="Q499" s="520"/>
      <c r="R499" s="522"/>
      <c r="S499" s="522"/>
      <c r="T499" s="522"/>
    </row>
    <row r="500" spans="8:20" ht="12.75">
      <c r="H500" s="501"/>
      <c r="I500" s="460"/>
      <c r="J500" s="520"/>
      <c r="K500" s="518"/>
      <c r="L500" s="515"/>
      <c r="M500" s="518"/>
      <c r="N500" s="462"/>
      <c r="O500" s="515"/>
      <c r="P500" s="501"/>
      <c r="Q500" s="520"/>
      <c r="R500" s="522"/>
      <c r="S500" s="522"/>
      <c r="T500" s="522"/>
    </row>
    <row r="501" spans="8:20" ht="12.75">
      <c r="H501" s="501"/>
      <c r="I501" s="501"/>
      <c r="J501" s="520"/>
      <c r="K501" s="518"/>
      <c r="L501" s="518"/>
      <c r="M501" s="518"/>
      <c r="N501" s="519"/>
      <c r="O501" s="515"/>
      <c r="P501" s="501"/>
      <c r="Q501" s="520"/>
      <c r="R501" s="522"/>
      <c r="S501" s="522"/>
      <c r="T501" s="522"/>
    </row>
    <row r="502" spans="8:20" ht="12.75">
      <c r="H502" s="501"/>
      <c r="I502" s="501"/>
      <c r="J502" s="520"/>
      <c r="K502" s="518"/>
      <c r="L502" s="501"/>
      <c r="M502" s="518"/>
      <c r="N502" s="462"/>
      <c r="O502" s="515"/>
      <c r="P502" s="501"/>
      <c r="Q502" s="520"/>
      <c r="R502" s="522"/>
      <c r="S502" s="522"/>
      <c r="T502" s="522"/>
    </row>
    <row r="503" spans="8:20" ht="12.75">
      <c r="H503" s="523"/>
      <c r="I503" s="523"/>
      <c r="J503" s="520"/>
      <c r="K503" s="518"/>
      <c r="L503" s="515"/>
      <c r="M503" s="518"/>
      <c r="N503" s="462"/>
      <c r="O503" s="515"/>
      <c r="P503" s="501"/>
      <c r="Q503" s="520"/>
      <c r="R503" s="522"/>
      <c r="S503" s="522"/>
      <c r="T503" s="522"/>
    </row>
    <row r="504" spans="8:20" ht="12.75">
      <c r="H504" s="501"/>
      <c r="I504" s="460"/>
      <c r="J504" s="520"/>
      <c r="K504" s="518"/>
      <c r="L504" s="515"/>
      <c r="M504" s="518"/>
      <c r="N504" s="462"/>
      <c r="O504" s="515"/>
      <c r="P504" s="501"/>
      <c r="Q504" s="520"/>
      <c r="R504" s="522"/>
      <c r="S504" s="522"/>
      <c r="T504" s="522"/>
    </row>
    <row r="505" spans="8:20" ht="12.75">
      <c r="H505" s="501"/>
      <c r="I505" s="501"/>
      <c r="J505" s="520"/>
      <c r="K505" s="518"/>
      <c r="L505" s="518"/>
      <c r="M505" s="518"/>
      <c r="N505" s="519"/>
      <c r="O505" s="515"/>
      <c r="P505" s="501"/>
      <c r="Q505" s="520"/>
      <c r="R505" s="522"/>
      <c r="S505" s="522"/>
      <c r="T505" s="522"/>
    </row>
    <row r="506" spans="8:20" ht="12.75">
      <c r="H506" s="501"/>
      <c r="I506" s="501"/>
      <c r="J506" s="520"/>
      <c r="K506" s="518"/>
      <c r="L506" s="501"/>
      <c r="M506" s="518"/>
      <c r="N506" s="462"/>
      <c r="O506" s="515"/>
      <c r="P506" s="501"/>
      <c r="Q506" s="520"/>
      <c r="R506" s="522"/>
      <c r="S506" s="522"/>
      <c r="T506" s="522"/>
    </row>
    <row r="507" spans="8:20" ht="12.75">
      <c r="H507" s="523"/>
      <c r="I507" s="523"/>
      <c r="J507" s="520"/>
      <c r="K507" s="518"/>
      <c r="L507" s="515"/>
      <c r="M507" s="518"/>
      <c r="N507" s="516"/>
      <c r="O507" s="515"/>
      <c r="P507" s="501"/>
      <c r="Q507" s="520"/>
      <c r="R507" s="522"/>
      <c r="S507" s="522"/>
      <c r="T507" s="522"/>
    </row>
    <row r="508" spans="8:20" ht="12.75">
      <c r="H508" s="501"/>
      <c r="I508" s="462"/>
      <c r="J508" s="520"/>
      <c r="K508" s="462"/>
      <c r="L508" s="515"/>
      <c r="M508" s="518"/>
      <c r="N508" s="462"/>
      <c r="O508" s="515"/>
      <c r="P508" s="501"/>
      <c r="Q508" s="520"/>
      <c r="R508" s="522"/>
      <c r="S508" s="522"/>
      <c r="T508" s="522"/>
    </row>
    <row r="509" spans="8:20" ht="12.75">
      <c r="H509" s="501"/>
      <c r="I509" s="501"/>
      <c r="J509" s="520"/>
      <c r="K509" s="518"/>
      <c r="L509" s="518"/>
      <c r="M509" s="518"/>
      <c r="N509" s="519"/>
      <c r="O509" s="515"/>
      <c r="P509" s="501"/>
      <c r="Q509" s="520"/>
      <c r="R509" s="522"/>
      <c r="S509" s="522"/>
      <c r="T509" s="522"/>
    </row>
    <row r="510" spans="8:20" ht="12.75">
      <c r="H510" s="501"/>
      <c r="I510" s="501"/>
      <c r="J510" s="520"/>
      <c r="K510" s="518"/>
      <c r="L510" s="501"/>
      <c r="M510" s="518"/>
      <c r="N510" s="462"/>
      <c r="O510" s="515"/>
      <c r="P510" s="501"/>
      <c r="Q510" s="520"/>
      <c r="R510" s="522"/>
      <c r="S510" s="522"/>
      <c r="T510" s="522"/>
    </row>
    <row r="511" spans="8:20" ht="12.75">
      <c r="H511" s="523"/>
      <c r="I511" s="523"/>
      <c r="J511" s="520"/>
      <c r="K511" s="518"/>
      <c r="L511" s="515"/>
      <c r="M511" s="518"/>
      <c r="N511" s="462"/>
      <c r="O511" s="515"/>
      <c r="P511" s="501"/>
      <c r="Q511" s="520"/>
      <c r="R511" s="522"/>
      <c r="S511" s="522"/>
      <c r="T511" s="522"/>
    </row>
    <row r="512" spans="8:20" ht="12.75">
      <c r="H512" s="501"/>
      <c r="I512" s="460"/>
      <c r="J512" s="520"/>
      <c r="K512" s="518"/>
      <c r="L512" s="515"/>
      <c r="M512" s="518"/>
      <c r="N512" s="462"/>
      <c r="O512" s="515"/>
      <c r="P512" s="501"/>
      <c r="Q512" s="520"/>
      <c r="R512" s="522"/>
      <c r="S512" s="522"/>
      <c r="T512" s="522"/>
    </row>
    <row r="513" spans="8:20" ht="12.75">
      <c r="H513" s="501"/>
      <c r="I513" s="501"/>
      <c r="J513" s="520"/>
      <c r="K513" s="518"/>
      <c r="L513" s="518"/>
      <c r="M513" s="518"/>
      <c r="N513" s="519"/>
      <c r="O513" s="515"/>
      <c r="P513" s="501"/>
      <c r="Q513" s="520"/>
      <c r="R513" s="522"/>
      <c r="S513" s="522"/>
      <c r="T513" s="522"/>
    </row>
    <row r="514" spans="8:20" ht="12.75">
      <c r="H514" s="501"/>
      <c r="I514" s="501"/>
      <c r="J514" s="520"/>
      <c r="K514" s="518"/>
      <c r="L514" s="501"/>
      <c r="M514" s="518"/>
      <c r="N514" s="462"/>
      <c r="O514" s="515"/>
      <c r="P514" s="501"/>
      <c r="Q514" s="520"/>
      <c r="R514" s="522"/>
      <c r="S514" s="522"/>
      <c r="T514" s="522"/>
    </row>
    <row r="515" spans="8:20" ht="12.75">
      <c r="H515" s="523"/>
      <c r="I515" s="523"/>
      <c r="J515" s="520"/>
      <c r="K515" s="518"/>
      <c r="L515" s="515"/>
      <c r="M515" s="518"/>
      <c r="N515" s="462"/>
      <c r="O515" s="515"/>
      <c r="P515" s="501"/>
      <c r="Q515" s="520"/>
      <c r="R515" s="522"/>
      <c r="S515" s="522"/>
      <c r="T515" s="522"/>
    </row>
    <row r="516" spans="8:20" ht="12.75">
      <c r="H516" s="501"/>
      <c r="I516" s="460"/>
      <c r="J516" s="520"/>
      <c r="K516" s="518"/>
      <c r="L516" s="515"/>
      <c r="M516" s="518"/>
      <c r="N516" s="501"/>
      <c r="O516" s="515"/>
      <c r="P516" s="501"/>
      <c r="Q516" s="520"/>
      <c r="R516" s="522"/>
      <c r="S516" s="522"/>
      <c r="T516" s="522"/>
    </row>
    <row r="517" spans="8:20" ht="12.75">
      <c r="H517" s="501"/>
      <c r="I517" s="501"/>
      <c r="J517" s="520"/>
      <c r="K517" s="518"/>
      <c r="L517" s="518"/>
      <c r="M517" s="518"/>
      <c r="N517" s="519"/>
      <c r="O517" s="515"/>
      <c r="P517" s="501"/>
      <c r="Q517" s="520"/>
      <c r="R517" s="522"/>
      <c r="S517" s="522"/>
      <c r="T517" s="522"/>
    </row>
    <row r="518" spans="8:20" ht="12.75">
      <c r="H518" s="501"/>
      <c r="I518" s="501"/>
      <c r="J518" s="520"/>
      <c r="K518" s="518"/>
      <c r="L518" s="501"/>
      <c r="M518" s="518"/>
      <c r="N518" s="462"/>
      <c r="O518" s="515"/>
      <c r="P518" s="501"/>
      <c r="Q518" s="520"/>
      <c r="R518" s="522"/>
      <c r="S518" s="522"/>
      <c r="T518" s="522"/>
    </row>
    <row r="519" spans="8:20" ht="12.75">
      <c r="H519" s="523"/>
      <c r="I519" s="523"/>
      <c r="J519" s="520"/>
      <c r="K519" s="518"/>
      <c r="L519" s="515"/>
      <c r="M519" s="518"/>
      <c r="N519" s="515"/>
      <c r="O519" s="515"/>
      <c r="P519" s="501"/>
      <c r="Q519" s="520"/>
      <c r="R519" s="522"/>
      <c r="S519" s="522"/>
      <c r="T519" s="522"/>
    </row>
    <row r="520" spans="8:20" ht="12.75">
      <c r="H520" s="462"/>
      <c r="I520" s="462"/>
      <c r="J520" s="462"/>
      <c r="K520" s="462"/>
      <c r="L520" s="462"/>
      <c r="M520" s="462"/>
      <c r="N520" s="462"/>
      <c r="O520" s="515"/>
      <c r="P520" s="501"/>
      <c r="Q520" s="520"/>
      <c r="R520" s="522"/>
      <c r="S520" s="522"/>
      <c r="T520" s="522"/>
    </row>
    <row r="521" spans="8:20" ht="12.75">
      <c r="H521" s="462"/>
      <c r="I521" s="460"/>
      <c r="J521" s="462"/>
      <c r="K521" s="462"/>
      <c r="L521" s="460"/>
      <c r="M521" s="462"/>
      <c r="N521" s="462"/>
      <c r="P521" s="462"/>
      <c r="Q521" s="462"/>
      <c r="R521" s="462"/>
      <c r="S521" s="462"/>
      <c r="T521" s="462"/>
    </row>
    <row r="522" spans="8:20" ht="12.75">
      <c r="H522" s="462"/>
      <c r="I522" s="503"/>
      <c r="J522" s="515"/>
      <c r="K522" s="518"/>
      <c r="L522" s="503"/>
      <c r="M522" s="518"/>
      <c r="N522" s="462"/>
      <c r="P522" s="462"/>
      <c r="Q522" s="462"/>
      <c r="R522" s="462"/>
      <c r="S522" s="462"/>
      <c r="T522" s="462"/>
    </row>
    <row r="523" spans="8:20" ht="12.75">
      <c r="H523" s="462"/>
      <c r="I523" s="462"/>
      <c r="J523" s="462"/>
      <c r="K523" s="462"/>
      <c r="L523" s="507"/>
      <c r="M523" s="507"/>
      <c r="N523" s="507"/>
      <c r="O523" s="524"/>
      <c r="P523" s="501"/>
      <c r="Q523" s="501"/>
      <c r="R523" s="506"/>
      <c r="S523" s="506"/>
      <c r="T523" s="506"/>
    </row>
    <row r="524" spans="8:20" ht="12.75">
      <c r="H524" s="462"/>
      <c r="I524" s="462"/>
      <c r="J524" s="462"/>
      <c r="K524" s="462"/>
      <c r="L524" s="462"/>
      <c r="M524" s="462"/>
      <c r="N524" s="462"/>
      <c r="O524" s="507"/>
      <c r="P524" s="507"/>
      <c r="Q524" s="507"/>
      <c r="R524" s="462"/>
      <c r="S524" s="462"/>
      <c r="T524" s="462"/>
    </row>
    <row r="525" spans="8:20" ht="30">
      <c r="H525" s="508"/>
      <c r="I525" s="509"/>
      <c r="J525" s="462"/>
      <c r="K525" s="462"/>
      <c r="L525" s="462"/>
      <c r="M525" s="510"/>
      <c r="N525" s="510"/>
      <c r="P525" s="462"/>
      <c r="Q525" s="462"/>
      <c r="R525" s="462"/>
      <c r="S525" s="462"/>
      <c r="T525" s="462"/>
    </row>
    <row r="526" spans="8:20" ht="30">
      <c r="H526" s="462"/>
      <c r="I526" s="462"/>
      <c r="J526" s="462"/>
      <c r="K526" s="462"/>
      <c r="L526" s="462"/>
      <c r="M526" s="462"/>
      <c r="N526" s="462"/>
      <c r="O526" s="510"/>
      <c r="P526" s="462"/>
      <c r="Q526" s="462"/>
      <c r="R526" s="462"/>
      <c r="S526" s="462"/>
      <c r="T526" s="462"/>
    </row>
    <row r="527" spans="8:20" ht="18">
      <c r="H527" s="463"/>
      <c r="I527" s="511"/>
      <c r="J527" s="465"/>
      <c r="K527" s="463"/>
      <c r="L527" s="463"/>
      <c r="M527" s="465"/>
      <c r="N527" s="512"/>
      <c r="P527" s="462"/>
      <c r="Q527" s="462"/>
      <c r="R527" s="462"/>
      <c r="S527" s="462"/>
      <c r="T527" s="462"/>
    </row>
    <row r="528" spans="8:20" ht="18">
      <c r="H528" s="501"/>
      <c r="I528" s="501"/>
      <c r="J528" s="501"/>
      <c r="K528" s="501"/>
      <c r="L528" s="527"/>
      <c r="M528" s="528"/>
      <c r="N528" s="462"/>
      <c r="P528" s="513"/>
      <c r="Q528" s="465"/>
      <c r="R528" s="465"/>
      <c r="S528" s="465"/>
      <c r="T528" s="465"/>
    </row>
    <row r="529" spans="8:20" ht="12.75">
      <c r="H529" s="531"/>
      <c r="I529" s="462"/>
      <c r="J529" s="527"/>
      <c r="K529" s="462"/>
      <c r="L529" s="460"/>
      <c r="M529" s="529"/>
      <c r="N529" s="460"/>
      <c r="O529" s="527"/>
      <c r="P529" s="460"/>
      <c r="Q529" s="501"/>
      <c r="R529" s="462"/>
      <c r="S529" s="462"/>
      <c r="T529" s="462"/>
    </row>
    <row r="530" spans="8:20" ht="12.75">
      <c r="H530" s="531"/>
      <c r="I530" s="527"/>
      <c r="J530" s="515"/>
      <c r="K530" s="503"/>
      <c r="L530" s="503"/>
      <c r="M530" s="501"/>
      <c r="N530" s="462"/>
      <c r="O530" s="529"/>
      <c r="P530" s="530"/>
      <c r="Q530" s="501"/>
      <c r="R530" s="462"/>
      <c r="S530" s="462"/>
      <c r="T530" s="462"/>
    </row>
    <row r="531" spans="8:20" ht="12.75">
      <c r="H531" s="503"/>
      <c r="I531" s="503"/>
      <c r="J531" s="501"/>
      <c r="K531" s="527"/>
      <c r="L531" s="503"/>
      <c r="M531" s="501"/>
      <c r="N531" s="462"/>
      <c r="O531" s="460"/>
      <c r="P531" s="518"/>
      <c r="Q531" s="531"/>
      <c r="R531" s="462"/>
      <c r="S531" s="462"/>
      <c r="T531" s="462"/>
    </row>
    <row r="532" spans="8:20" ht="12.75">
      <c r="H532" s="462"/>
      <c r="I532" s="460"/>
      <c r="J532" s="501"/>
      <c r="K532" s="503"/>
      <c r="L532" s="503"/>
      <c r="M532" s="532"/>
      <c r="N532" s="462"/>
      <c r="O532" s="527"/>
      <c r="P532" s="503"/>
      <c r="Q532" s="533"/>
      <c r="R532" s="462"/>
      <c r="S532" s="462"/>
      <c r="T532" s="462"/>
    </row>
    <row r="533" spans="8:20" ht="12.75">
      <c r="H533" s="462"/>
      <c r="I533" s="462"/>
      <c r="J533" s="462"/>
      <c r="K533" s="462"/>
      <c r="L533" s="462"/>
      <c r="M533" s="462"/>
      <c r="N533" s="462"/>
      <c r="O533" s="503"/>
      <c r="P533" s="462"/>
      <c r="Q533" s="534"/>
      <c r="R533" s="462"/>
      <c r="S533" s="462"/>
      <c r="T533" s="462"/>
    </row>
    <row r="534" spans="8:20" ht="12.75">
      <c r="H534" s="462"/>
      <c r="I534" s="460"/>
      <c r="J534" s="514"/>
      <c r="K534" s="520"/>
      <c r="L534" s="520"/>
      <c r="M534" s="520"/>
      <c r="N534" s="520"/>
      <c r="P534" s="462"/>
      <c r="Q534" s="462"/>
      <c r="R534" s="462"/>
      <c r="S534" s="462"/>
      <c r="T534" s="462"/>
    </row>
    <row r="535" spans="8:20" ht="12.75">
      <c r="H535" s="460"/>
      <c r="I535" s="460"/>
      <c r="J535" s="514"/>
      <c r="K535" s="520"/>
      <c r="L535" s="520"/>
      <c r="M535" s="520"/>
      <c r="N535" s="520"/>
      <c r="O535" s="520"/>
      <c r="P535" s="520"/>
      <c r="Q535" s="501"/>
      <c r="R535" s="462"/>
      <c r="S535" s="462"/>
      <c r="T535" s="462"/>
    </row>
    <row r="536" spans="8:20" ht="12.75">
      <c r="H536" s="462"/>
      <c r="I536" s="514"/>
      <c r="J536" s="514"/>
      <c r="K536" s="518"/>
      <c r="L536" s="518"/>
      <c r="M536" s="518"/>
      <c r="N536" s="518"/>
      <c r="O536" s="520"/>
      <c r="P536" s="520"/>
      <c r="Q536" s="520"/>
      <c r="R536" s="501"/>
      <c r="S536" s="501"/>
      <c r="T536" s="501"/>
    </row>
    <row r="537" spans="8:20" ht="12.75">
      <c r="H537" s="462"/>
      <c r="I537" s="514"/>
      <c r="J537" s="514"/>
      <c r="K537" s="515"/>
      <c r="L537" s="515"/>
      <c r="M537" s="515"/>
      <c r="N537" s="515"/>
      <c r="O537" s="518"/>
      <c r="P537" s="518"/>
      <c r="Q537" s="518"/>
      <c r="R537" s="462"/>
      <c r="S537" s="462"/>
      <c r="T537" s="462"/>
    </row>
    <row r="538" spans="8:20" ht="12.75">
      <c r="H538" s="462"/>
      <c r="I538" s="462"/>
      <c r="J538" s="462"/>
      <c r="K538" s="462"/>
      <c r="L538" s="462"/>
      <c r="M538" s="462"/>
      <c r="N538" s="462"/>
      <c r="O538" s="515"/>
      <c r="P538" s="515"/>
      <c r="Q538" s="515"/>
      <c r="R538" s="462"/>
      <c r="S538" s="462"/>
      <c r="T538" s="462"/>
    </row>
    <row r="539" spans="8:20" ht="12.75">
      <c r="H539" s="462"/>
      <c r="I539" s="462"/>
      <c r="J539" s="460"/>
      <c r="K539" s="462"/>
      <c r="L539" s="460"/>
      <c r="M539" s="460"/>
      <c r="N539" s="460"/>
      <c r="P539" s="462"/>
      <c r="Q539" s="462"/>
      <c r="R539" s="462"/>
      <c r="S539" s="462"/>
      <c r="T539" s="462"/>
    </row>
    <row r="540" spans="8:20" ht="12.75">
      <c r="H540" s="460"/>
      <c r="I540" s="460"/>
      <c r="J540" s="460"/>
      <c r="K540" s="503"/>
      <c r="L540" s="460"/>
      <c r="M540" s="460"/>
      <c r="N540" s="460"/>
      <c r="O540" s="460"/>
      <c r="P540" s="460"/>
      <c r="Q540" s="460"/>
      <c r="R540" s="460"/>
      <c r="S540" s="460"/>
      <c r="T540" s="460"/>
    </row>
    <row r="541" spans="8:20" ht="12.75">
      <c r="H541" s="462"/>
      <c r="I541" s="462"/>
      <c r="J541" s="462"/>
      <c r="K541" s="462"/>
      <c r="L541" s="501"/>
      <c r="M541" s="501"/>
      <c r="N541" s="516"/>
      <c r="O541" s="460"/>
      <c r="P541" s="503"/>
      <c r="Q541" s="517"/>
      <c r="R541" s="517"/>
      <c r="S541" s="517"/>
      <c r="T541" s="517"/>
    </row>
    <row r="542" spans="8:20" ht="12.75">
      <c r="H542" s="501"/>
      <c r="I542" s="501"/>
      <c r="J542" s="520"/>
      <c r="K542" s="518"/>
      <c r="L542" s="518"/>
      <c r="M542" s="518"/>
      <c r="N542" s="519"/>
      <c r="P542" s="462"/>
      <c r="Q542" s="520"/>
      <c r="R542" s="521"/>
      <c r="S542" s="521"/>
      <c r="T542" s="521"/>
    </row>
    <row r="543" spans="8:20" ht="12.75">
      <c r="H543" s="501"/>
      <c r="I543" s="501"/>
      <c r="J543" s="520"/>
      <c r="K543" s="518"/>
      <c r="L543" s="501"/>
      <c r="M543" s="518"/>
      <c r="N543" s="462"/>
      <c r="O543" s="515"/>
      <c r="P543" s="501"/>
      <c r="Q543" s="520"/>
      <c r="R543" s="522"/>
      <c r="S543" s="522"/>
      <c r="T543" s="522"/>
    </row>
    <row r="544" spans="8:20" ht="12.75">
      <c r="H544" s="460"/>
      <c r="I544" s="535"/>
      <c r="J544" s="520"/>
      <c r="K544" s="518"/>
      <c r="L544" s="515"/>
      <c r="M544" s="518"/>
      <c r="N544" s="462"/>
      <c r="O544" s="515"/>
      <c r="P544" s="501"/>
      <c r="Q544" s="520"/>
      <c r="R544" s="522"/>
      <c r="S544" s="522"/>
      <c r="T544" s="522"/>
    </row>
    <row r="545" spans="8:20" ht="12.75">
      <c r="H545" s="460"/>
      <c r="I545" s="460"/>
      <c r="J545" s="520"/>
      <c r="K545" s="518"/>
      <c r="L545" s="515"/>
      <c r="M545" s="518"/>
      <c r="N545" s="462"/>
      <c r="O545" s="515"/>
      <c r="P545" s="501"/>
      <c r="Q545" s="520"/>
      <c r="R545" s="522"/>
      <c r="S545" s="522"/>
      <c r="T545" s="522"/>
    </row>
    <row r="546" spans="8:20" ht="12.75">
      <c r="H546" s="501"/>
      <c r="I546" s="501"/>
      <c r="J546" s="520"/>
      <c r="K546" s="518"/>
      <c r="L546" s="518"/>
      <c r="M546" s="518"/>
      <c r="N546" s="519"/>
      <c r="O546" s="515"/>
      <c r="P546" s="501"/>
      <c r="Q546" s="520"/>
      <c r="R546" s="522"/>
      <c r="S546" s="522"/>
      <c r="T546" s="522"/>
    </row>
    <row r="547" spans="8:20" ht="12.75">
      <c r="H547" s="501"/>
      <c r="I547" s="501"/>
      <c r="J547" s="520"/>
      <c r="K547" s="518"/>
      <c r="L547" s="501"/>
      <c r="M547" s="518"/>
      <c r="N547" s="462"/>
      <c r="O547" s="515"/>
      <c r="P547" s="501"/>
      <c r="Q547" s="520"/>
      <c r="R547" s="522"/>
      <c r="S547" s="522"/>
      <c r="T547" s="522"/>
    </row>
    <row r="548" spans="8:20" ht="12.75">
      <c r="H548" s="523"/>
      <c r="I548" s="535"/>
      <c r="J548" s="520"/>
      <c r="K548" s="518"/>
      <c r="L548" s="515"/>
      <c r="M548" s="518"/>
      <c r="N548" s="516"/>
      <c r="O548" s="515"/>
      <c r="P548" s="515"/>
      <c r="Q548" s="520"/>
      <c r="R548" s="522"/>
      <c r="S548" s="522"/>
      <c r="T548" s="522"/>
    </row>
    <row r="549" spans="8:20" ht="12.75">
      <c r="H549" s="501"/>
      <c r="I549" s="460"/>
      <c r="J549" s="520"/>
      <c r="K549" s="518"/>
      <c r="L549" s="515"/>
      <c r="M549" s="518"/>
      <c r="N549" s="462"/>
      <c r="O549" s="515"/>
      <c r="P549" s="501"/>
      <c r="Q549" s="520"/>
      <c r="R549" s="522"/>
      <c r="S549" s="522"/>
      <c r="T549" s="522"/>
    </row>
    <row r="550" spans="8:20" ht="12.75">
      <c r="H550" s="501"/>
      <c r="I550" s="501"/>
      <c r="J550" s="520"/>
      <c r="K550" s="518"/>
      <c r="L550" s="518"/>
      <c r="M550" s="518"/>
      <c r="N550" s="519"/>
      <c r="O550" s="515"/>
      <c r="P550" s="501"/>
      <c r="Q550" s="520"/>
      <c r="R550" s="522"/>
      <c r="S550" s="522"/>
      <c r="T550" s="522"/>
    </row>
    <row r="551" spans="8:20" ht="12.75">
      <c r="H551" s="501"/>
      <c r="I551" s="501"/>
      <c r="J551" s="520"/>
      <c r="K551" s="518"/>
      <c r="L551" s="501"/>
      <c r="M551" s="518"/>
      <c r="N551" s="462"/>
      <c r="O551" s="515"/>
      <c r="P551" s="501"/>
      <c r="Q551" s="520"/>
      <c r="R551" s="522"/>
      <c r="S551" s="522"/>
      <c r="T551" s="522"/>
    </row>
    <row r="552" spans="8:20" ht="12.75">
      <c r="H552" s="523"/>
      <c r="I552" s="523"/>
      <c r="J552" s="520"/>
      <c r="K552" s="518"/>
      <c r="L552" s="515"/>
      <c r="M552" s="518"/>
      <c r="N552" s="462"/>
      <c r="O552" s="515"/>
      <c r="P552" s="501"/>
      <c r="Q552" s="520"/>
      <c r="R552" s="522"/>
      <c r="S552" s="522"/>
      <c r="T552" s="522"/>
    </row>
    <row r="553" spans="8:20" ht="12.75">
      <c r="H553" s="501"/>
      <c r="I553" s="460"/>
      <c r="J553" s="520"/>
      <c r="K553" s="518"/>
      <c r="L553" s="515"/>
      <c r="M553" s="518"/>
      <c r="N553" s="462"/>
      <c r="O553" s="515"/>
      <c r="P553" s="501"/>
      <c r="Q553" s="520"/>
      <c r="R553" s="522"/>
      <c r="S553" s="522"/>
      <c r="T553" s="522"/>
    </row>
    <row r="554" spans="8:20" ht="12.75">
      <c r="H554" s="501"/>
      <c r="I554" s="501"/>
      <c r="J554" s="520"/>
      <c r="K554" s="518"/>
      <c r="L554" s="518"/>
      <c r="M554" s="518"/>
      <c r="N554" s="519"/>
      <c r="O554" s="515"/>
      <c r="P554" s="501"/>
      <c r="Q554" s="520"/>
      <c r="R554" s="522"/>
      <c r="S554" s="522"/>
      <c r="T554" s="522"/>
    </row>
    <row r="555" spans="8:20" ht="12.75">
      <c r="H555" s="501"/>
      <c r="I555" s="501"/>
      <c r="J555" s="520"/>
      <c r="K555" s="518"/>
      <c r="L555" s="501"/>
      <c r="M555" s="518"/>
      <c r="N555" s="462"/>
      <c r="O555" s="515"/>
      <c r="P555" s="501"/>
      <c r="Q555" s="520"/>
      <c r="R555" s="522"/>
      <c r="S555" s="522"/>
      <c r="T555" s="522"/>
    </row>
    <row r="556" spans="8:20" ht="12.75">
      <c r="H556" s="523"/>
      <c r="I556" s="523"/>
      <c r="J556" s="520"/>
      <c r="K556" s="518"/>
      <c r="L556" s="515"/>
      <c r="M556" s="518"/>
      <c r="N556" s="516"/>
      <c r="O556" s="515"/>
      <c r="P556" s="501"/>
      <c r="Q556" s="520"/>
      <c r="R556" s="522"/>
      <c r="S556" s="522"/>
      <c r="T556" s="522"/>
    </row>
    <row r="557" spans="8:20" ht="12.75">
      <c r="H557" s="501"/>
      <c r="I557" s="462"/>
      <c r="J557" s="520"/>
      <c r="K557" s="462"/>
      <c r="L557" s="515"/>
      <c r="M557" s="518"/>
      <c r="N557" s="462"/>
      <c r="O557" s="515"/>
      <c r="P557" s="501"/>
      <c r="Q557" s="520"/>
      <c r="R557" s="522"/>
      <c r="S557" s="522"/>
      <c r="T557" s="522"/>
    </row>
    <row r="558" spans="8:20" ht="12.75">
      <c r="H558" s="501"/>
      <c r="I558" s="501"/>
      <c r="J558" s="520"/>
      <c r="K558" s="518"/>
      <c r="L558" s="518"/>
      <c r="M558" s="518"/>
      <c r="N558" s="519"/>
      <c r="O558" s="515"/>
      <c r="P558" s="501"/>
      <c r="Q558" s="520"/>
      <c r="R558" s="522"/>
      <c r="S558" s="522"/>
      <c r="T558" s="522"/>
    </row>
    <row r="559" spans="8:20" ht="12.75">
      <c r="H559" s="501"/>
      <c r="I559" s="501"/>
      <c r="J559" s="520"/>
      <c r="K559" s="518"/>
      <c r="L559" s="501"/>
      <c r="M559" s="518"/>
      <c r="N559" s="462"/>
      <c r="O559" s="515"/>
      <c r="P559" s="501"/>
      <c r="Q559" s="520"/>
      <c r="R559" s="522"/>
      <c r="S559" s="522"/>
      <c r="T559" s="522"/>
    </row>
    <row r="560" spans="8:20" ht="12.75">
      <c r="H560" s="523"/>
      <c r="I560" s="523"/>
      <c r="J560" s="520"/>
      <c r="K560" s="518"/>
      <c r="L560" s="515"/>
      <c r="M560" s="518"/>
      <c r="N560" s="462"/>
      <c r="O560" s="515"/>
      <c r="P560" s="501"/>
      <c r="Q560" s="520"/>
      <c r="R560" s="522"/>
      <c r="S560" s="522"/>
      <c r="T560" s="522"/>
    </row>
    <row r="561" spans="8:20" ht="12.75">
      <c r="H561" s="501"/>
      <c r="I561" s="460"/>
      <c r="J561" s="520"/>
      <c r="K561" s="518"/>
      <c r="L561" s="515"/>
      <c r="M561" s="518"/>
      <c r="N561" s="462"/>
      <c r="O561" s="515"/>
      <c r="P561" s="501"/>
      <c r="Q561" s="520"/>
      <c r="R561" s="522"/>
      <c r="S561" s="522"/>
      <c r="T561" s="522"/>
    </row>
    <row r="562" spans="8:20" ht="12.75">
      <c r="H562" s="501"/>
      <c r="I562" s="501"/>
      <c r="J562" s="520"/>
      <c r="K562" s="518"/>
      <c r="L562" s="518"/>
      <c r="M562" s="518"/>
      <c r="N562" s="519"/>
      <c r="O562" s="515"/>
      <c r="P562" s="501"/>
      <c r="Q562" s="520"/>
      <c r="R562" s="522"/>
      <c r="S562" s="522"/>
      <c r="T562" s="522"/>
    </row>
    <row r="563" spans="8:20" ht="12.75">
      <c r="H563" s="501"/>
      <c r="I563" s="501"/>
      <c r="J563" s="520"/>
      <c r="K563" s="518"/>
      <c r="L563" s="501"/>
      <c r="M563" s="518"/>
      <c r="N563" s="462"/>
      <c r="O563" s="515"/>
      <c r="P563" s="501"/>
      <c r="Q563" s="520"/>
      <c r="R563" s="522"/>
      <c r="S563" s="522"/>
      <c r="T563" s="522"/>
    </row>
    <row r="564" spans="8:20" ht="12.75">
      <c r="H564" s="523"/>
      <c r="I564" s="523"/>
      <c r="J564" s="520"/>
      <c r="K564" s="518"/>
      <c r="L564" s="515"/>
      <c r="M564" s="518"/>
      <c r="N564" s="462"/>
      <c r="O564" s="515"/>
      <c r="P564" s="501"/>
      <c r="Q564" s="520"/>
      <c r="R564" s="522"/>
      <c r="S564" s="522"/>
      <c r="T564" s="522"/>
    </row>
    <row r="565" spans="8:20" ht="12.75">
      <c r="H565" s="501"/>
      <c r="I565" s="460"/>
      <c r="J565" s="520"/>
      <c r="K565" s="518"/>
      <c r="L565" s="515"/>
      <c r="M565" s="518"/>
      <c r="N565" s="501"/>
      <c r="O565" s="515"/>
      <c r="P565" s="501"/>
      <c r="Q565" s="520"/>
      <c r="R565" s="522"/>
      <c r="S565" s="522"/>
      <c r="T565" s="522"/>
    </row>
    <row r="566" spans="8:20" ht="12.75">
      <c r="H566" s="501"/>
      <c r="I566" s="501"/>
      <c r="J566" s="520"/>
      <c r="K566" s="518"/>
      <c r="L566" s="518"/>
      <c r="M566" s="518"/>
      <c r="N566" s="519"/>
      <c r="O566" s="515"/>
      <c r="P566" s="501"/>
      <c r="Q566" s="520"/>
      <c r="R566" s="522"/>
      <c r="S566" s="522"/>
      <c r="T566" s="522"/>
    </row>
    <row r="567" spans="8:20" ht="12.75">
      <c r="H567" s="501"/>
      <c r="I567" s="501"/>
      <c r="J567" s="520"/>
      <c r="K567" s="518"/>
      <c r="L567" s="501"/>
      <c r="M567" s="518"/>
      <c r="N567" s="462"/>
      <c r="O567" s="515"/>
      <c r="P567" s="501"/>
      <c r="Q567" s="520"/>
      <c r="R567" s="522"/>
      <c r="S567" s="522"/>
      <c r="T567" s="522"/>
    </row>
    <row r="568" spans="8:20" ht="12.75">
      <c r="H568" s="523"/>
      <c r="I568" s="523"/>
      <c r="J568" s="520"/>
      <c r="K568" s="518"/>
      <c r="L568" s="515"/>
      <c r="M568" s="518"/>
      <c r="N568" s="515"/>
      <c r="O568" s="515"/>
      <c r="P568" s="501"/>
      <c r="Q568" s="520"/>
      <c r="R568" s="522"/>
      <c r="S568" s="522"/>
      <c r="T568" s="522"/>
    </row>
    <row r="569" spans="8:20" ht="12.75">
      <c r="H569" s="462"/>
      <c r="I569" s="462"/>
      <c r="J569" s="462"/>
      <c r="K569" s="462"/>
      <c r="L569" s="462"/>
      <c r="M569" s="462"/>
      <c r="N569" s="462"/>
      <c r="O569" s="515"/>
      <c r="P569" s="501"/>
      <c r="Q569" s="520"/>
      <c r="R569" s="522"/>
      <c r="S569" s="522"/>
      <c r="T569" s="522"/>
    </row>
    <row r="570" spans="8:20" ht="12.75">
      <c r="H570" s="462"/>
      <c r="I570" s="460"/>
      <c r="J570" s="462"/>
      <c r="K570" s="462"/>
      <c r="L570" s="460"/>
      <c r="M570" s="462"/>
      <c r="N570" s="462"/>
      <c r="P570" s="462"/>
      <c r="Q570" s="462"/>
      <c r="R570" s="462"/>
      <c r="S570" s="462"/>
      <c r="T570" s="462"/>
    </row>
    <row r="571" spans="8:20" ht="12.75">
      <c r="H571" s="462"/>
      <c r="I571" s="503"/>
      <c r="J571" s="515"/>
      <c r="K571" s="518"/>
      <c r="L571" s="503"/>
      <c r="M571" s="518"/>
      <c r="N571" s="462"/>
      <c r="P571" s="462"/>
      <c r="Q571" s="462"/>
      <c r="R571" s="462"/>
      <c r="S571" s="462"/>
      <c r="T571" s="462"/>
    </row>
    <row r="572" spans="8:20" ht="12.75">
      <c r="H572" s="462"/>
      <c r="I572" s="462"/>
      <c r="J572" s="462"/>
      <c r="K572" s="462"/>
      <c r="L572" s="462"/>
      <c r="M572" s="507"/>
      <c r="N572" s="507"/>
      <c r="O572" s="524"/>
      <c r="P572" s="501"/>
      <c r="Q572" s="501"/>
      <c r="R572" s="506"/>
      <c r="S572" s="506"/>
      <c r="T572" s="506"/>
    </row>
    <row r="573" spans="8:20" ht="12.75">
      <c r="H573" s="462"/>
      <c r="I573" s="462"/>
      <c r="J573" s="462"/>
      <c r="K573" s="462"/>
      <c r="L573" s="462"/>
      <c r="M573" s="462"/>
      <c r="N573" s="462"/>
      <c r="O573" s="507"/>
      <c r="P573" s="507"/>
      <c r="Q573" s="507"/>
      <c r="R573" s="462"/>
      <c r="S573" s="462"/>
      <c r="T573" s="462"/>
    </row>
    <row r="574" spans="16:20" ht="12.75">
      <c r="P574" s="462"/>
      <c r="Q574" s="462"/>
      <c r="R574" s="462"/>
      <c r="S574" s="462"/>
      <c r="T574" s="462"/>
    </row>
  </sheetData>
  <sheetProtection password="DC2C" sheet="1" objects="1" scenarios="1"/>
  <mergeCells count="64">
    <mergeCell ref="C33:D33"/>
    <mergeCell ref="C34:D34"/>
    <mergeCell ref="C48:D48"/>
    <mergeCell ref="C49:D49"/>
    <mergeCell ref="C50:D50"/>
    <mergeCell ref="C39:D39"/>
    <mergeCell ref="C42:D42"/>
    <mergeCell ref="C43:D43"/>
    <mergeCell ref="C41:D41"/>
    <mergeCell ref="C46:D46"/>
    <mergeCell ref="Q59:R59"/>
    <mergeCell ref="D59:M59"/>
    <mergeCell ref="D61:M61"/>
    <mergeCell ref="J64:K64"/>
    <mergeCell ref="C16:D16"/>
    <mergeCell ref="C27:D27"/>
    <mergeCell ref="C28:D28"/>
    <mergeCell ref="C37:D37"/>
    <mergeCell ref="C38:D38"/>
    <mergeCell ref="C32:D32"/>
    <mergeCell ref="I55:J55"/>
    <mergeCell ref="C56:D56"/>
    <mergeCell ref="E56:F56"/>
    <mergeCell ref="G56:H56"/>
    <mergeCell ref="I56:J56"/>
    <mergeCell ref="Q58:S58"/>
    <mergeCell ref="D58:M58"/>
    <mergeCell ref="L53:M53"/>
    <mergeCell ref="K54:N54"/>
    <mergeCell ref="L55:N55"/>
    <mergeCell ref="C54:D54"/>
    <mergeCell ref="E54:F54"/>
    <mergeCell ref="G54:H54"/>
    <mergeCell ref="I54:J54"/>
    <mergeCell ref="C55:D55"/>
    <mergeCell ref="E55:F55"/>
    <mergeCell ref="G55:H55"/>
    <mergeCell ref="F46:G46"/>
    <mergeCell ref="L40:M40"/>
    <mergeCell ref="L36:M36"/>
    <mergeCell ref="L31:M31"/>
    <mergeCell ref="L51:M51"/>
    <mergeCell ref="L52:M52"/>
    <mergeCell ref="L20:M20"/>
    <mergeCell ref="L21:M21"/>
    <mergeCell ref="C30:D30"/>
    <mergeCell ref="L22:M22"/>
    <mergeCell ref="L23:M23"/>
    <mergeCell ref="L24:M24"/>
    <mergeCell ref="L26:M26"/>
    <mergeCell ref="F30:G30"/>
    <mergeCell ref="C15:D15"/>
    <mergeCell ref="C17:D17"/>
    <mergeCell ref="C18:D18"/>
    <mergeCell ref="E19:F19"/>
    <mergeCell ref="H19:I19"/>
    <mergeCell ref="K19:L19"/>
    <mergeCell ref="I8:L8"/>
    <mergeCell ref="C7:D7"/>
    <mergeCell ref="C11:D11"/>
    <mergeCell ref="C13:D13"/>
    <mergeCell ref="C14:D14"/>
    <mergeCell ref="C8:D8"/>
    <mergeCell ref="C9:D9"/>
  </mergeCells>
  <printOptions/>
  <pageMargins left="0.75" right="0.75" top="1" bottom="1" header="0.5" footer="0.5"/>
  <pageSetup horizontalDpi="600" verticalDpi="600" orientation="landscape" scale="92" r:id="rId3"/>
  <colBreaks count="1" manualBreakCount="1">
    <brk id="14" max="65535" man="1"/>
  </colBreaks>
  <legacyDrawing r:id="rId2"/>
</worksheet>
</file>

<file path=xl/worksheets/sheet5.xml><?xml version="1.0" encoding="utf-8"?>
<worksheet xmlns="http://schemas.openxmlformats.org/spreadsheetml/2006/main" xmlns:r="http://schemas.openxmlformats.org/officeDocument/2006/relationships">
  <sheetPr codeName="Sheet2"/>
  <dimension ref="A1:M240"/>
  <sheetViews>
    <sheetView showRowColHeaders="0" zoomScaleSheetLayoutView="100" zoomScalePageLayoutView="0" workbookViewId="0" topLeftCell="A208">
      <selection activeCell="B242" sqref="B242"/>
    </sheetView>
  </sheetViews>
  <sheetFormatPr defaultColWidth="9.140625" defaultRowHeight="12.75"/>
  <cols>
    <col min="1" max="1" width="6.57421875" style="120" customWidth="1"/>
    <col min="2" max="2" width="12.00390625" style="120" bestFit="1" customWidth="1"/>
    <col min="3" max="16384" width="9.140625" style="120" customWidth="1"/>
  </cols>
  <sheetData>
    <row r="1" spans="1:10" ht="15">
      <c r="A1" s="122"/>
      <c r="B1" s="122"/>
      <c r="C1" s="122"/>
      <c r="D1" s="122"/>
      <c r="E1" s="122"/>
      <c r="F1" s="122"/>
      <c r="G1" s="122"/>
      <c r="H1" s="122"/>
      <c r="I1" s="122"/>
      <c r="J1" s="122"/>
    </row>
    <row r="2" spans="1:10" ht="15">
      <c r="A2" s="122"/>
      <c r="B2" s="122"/>
      <c r="C2" s="122"/>
      <c r="D2" s="122"/>
      <c r="E2" s="122"/>
      <c r="F2" s="122"/>
      <c r="G2" s="122"/>
      <c r="H2" s="122"/>
      <c r="I2" s="122"/>
      <c r="J2" s="122"/>
    </row>
    <row r="3" spans="1:10" ht="15">
      <c r="A3" s="122"/>
      <c r="B3" s="122"/>
      <c r="C3" s="122"/>
      <c r="D3" s="122"/>
      <c r="E3" s="122"/>
      <c r="F3" s="122"/>
      <c r="G3" s="122"/>
      <c r="H3" s="122"/>
      <c r="I3" s="122"/>
      <c r="J3" s="122"/>
    </row>
    <row r="4" spans="1:10" ht="18">
      <c r="A4" s="930" t="s">
        <v>85</v>
      </c>
      <c r="B4" s="930"/>
      <c r="C4" s="930"/>
      <c r="D4" s="930"/>
      <c r="E4" s="930"/>
      <c r="F4" s="930"/>
      <c r="G4" s="930"/>
      <c r="H4" s="930"/>
      <c r="I4" s="930"/>
      <c r="J4" s="930"/>
    </row>
    <row r="5" spans="1:10" ht="15">
      <c r="A5" s="122"/>
      <c r="B5" s="122"/>
      <c r="C5" s="122"/>
      <c r="D5" s="122"/>
      <c r="E5" s="122"/>
      <c r="F5" s="122"/>
      <c r="G5" s="122"/>
      <c r="H5" s="122"/>
      <c r="I5" s="122"/>
      <c r="J5" s="122"/>
    </row>
    <row r="6" spans="1:10" ht="15">
      <c r="A6" s="122"/>
      <c r="B6" s="122" t="s">
        <v>87</v>
      </c>
      <c r="C6" s="122"/>
      <c r="D6" s="122"/>
      <c r="E6" s="122"/>
      <c r="F6" s="122"/>
      <c r="G6" s="122"/>
      <c r="H6" s="122"/>
      <c r="I6" s="122"/>
      <c r="J6" s="122"/>
    </row>
    <row r="7" spans="1:10" ht="15">
      <c r="A7" s="122"/>
      <c r="B7" s="122" t="s">
        <v>88</v>
      </c>
      <c r="C7" s="122"/>
      <c r="D7" s="122"/>
      <c r="E7" s="122"/>
      <c r="F7" s="122"/>
      <c r="G7" s="122"/>
      <c r="H7" s="122"/>
      <c r="I7" s="122"/>
      <c r="J7" s="122"/>
    </row>
    <row r="8" spans="1:10" ht="15">
      <c r="A8" s="122"/>
      <c r="B8" s="122" t="s">
        <v>86</v>
      </c>
      <c r="C8" s="122"/>
      <c r="D8" s="122"/>
      <c r="E8" s="122"/>
      <c r="F8" s="122"/>
      <c r="G8" s="122"/>
      <c r="H8" s="122"/>
      <c r="I8" s="122"/>
      <c r="J8" s="122"/>
    </row>
    <row r="9" spans="1:10" ht="15">
      <c r="A9" s="122"/>
      <c r="B9" s="122"/>
      <c r="C9" s="122"/>
      <c r="D9" s="122"/>
      <c r="E9" s="122"/>
      <c r="F9" s="122"/>
      <c r="G9" s="122"/>
      <c r="H9" s="122"/>
      <c r="I9" s="122"/>
      <c r="J9" s="122"/>
    </row>
    <row r="10" spans="1:10" ht="15">
      <c r="A10" s="122"/>
      <c r="B10" s="122" t="s">
        <v>110</v>
      </c>
      <c r="C10" s="122"/>
      <c r="D10" s="122"/>
      <c r="E10" s="122"/>
      <c r="F10" s="122"/>
      <c r="G10" s="122"/>
      <c r="H10" s="122"/>
      <c r="I10" s="122"/>
      <c r="J10" s="122"/>
    </row>
    <row r="11" spans="1:10" ht="15">
      <c r="A11" s="122"/>
      <c r="B11" s="122" t="s">
        <v>111</v>
      </c>
      <c r="C11" s="122"/>
      <c r="D11" s="122"/>
      <c r="E11" s="122"/>
      <c r="F11" s="122"/>
      <c r="G11" s="122"/>
      <c r="H11" s="122"/>
      <c r="I11" s="122"/>
      <c r="J11" s="122"/>
    </row>
    <row r="12" spans="1:10" ht="15">
      <c r="A12" s="122"/>
      <c r="B12" s="122" t="s">
        <v>112</v>
      </c>
      <c r="C12" s="122"/>
      <c r="D12" s="122"/>
      <c r="E12" s="122"/>
      <c r="F12" s="122"/>
      <c r="G12" s="122"/>
      <c r="H12" s="122"/>
      <c r="I12" s="122"/>
      <c r="J12" s="122"/>
    </row>
    <row r="13" spans="1:10" ht="15">
      <c r="A13" s="122"/>
      <c r="B13" s="122"/>
      <c r="C13" s="122"/>
      <c r="D13" s="122"/>
      <c r="E13" s="122"/>
      <c r="F13" s="122"/>
      <c r="G13" s="122"/>
      <c r="H13" s="122"/>
      <c r="I13" s="122"/>
      <c r="J13" s="122"/>
    </row>
    <row r="14" spans="1:10" ht="15">
      <c r="A14" s="122"/>
      <c r="B14" s="122" t="s">
        <v>89</v>
      </c>
      <c r="C14" s="122"/>
      <c r="D14" s="122"/>
      <c r="E14" s="122"/>
      <c r="F14" s="122"/>
      <c r="G14" s="122"/>
      <c r="H14" s="122"/>
      <c r="I14" s="122"/>
      <c r="J14" s="122"/>
    </row>
    <row r="15" spans="1:10" ht="15">
      <c r="A15" s="122"/>
      <c r="B15" s="122" t="s">
        <v>109</v>
      </c>
      <c r="C15" s="122"/>
      <c r="D15" s="122"/>
      <c r="E15" s="122"/>
      <c r="F15" s="122"/>
      <c r="G15" s="122"/>
      <c r="H15" s="122"/>
      <c r="I15" s="122"/>
      <c r="J15" s="122"/>
    </row>
    <row r="16" spans="1:10" ht="15">
      <c r="A16" s="122"/>
      <c r="B16" s="122"/>
      <c r="C16" s="122"/>
      <c r="D16" s="122"/>
      <c r="E16" s="122"/>
      <c r="F16" s="122"/>
      <c r="G16" s="122"/>
      <c r="H16" s="122"/>
      <c r="I16" s="122"/>
      <c r="J16" s="122"/>
    </row>
    <row r="17" spans="1:10" ht="15">
      <c r="A17" s="122"/>
      <c r="B17" s="122"/>
      <c r="C17" s="122" t="s">
        <v>113</v>
      </c>
      <c r="D17" s="122"/>
      <c r="E17" s="122"/>
      <c r="F17" s="122"/>
      <c r="G17" s="122"/>
      <c r="H17" s="122"/>
      <c r="I17" s="122"/>
      <c r="J17" s="122"/>
    </row>
    <row r="18" spans="1:10" ht="15">
      <c r="A18" s="122"/>
      <c r="B18" s="122"/>
      <c r="C18" s="122"/>
      <c r="D18" s="122"/>
      <c r="E18" s="122"/>
      <c r="F18" s="122"/>
      <c r="G18" s="122"/>
      <c r="H18" s="122"/>
      <c r="I18" s="122"/>
      <c r="J18" s="122"/>
    </row>
    <row r="19" spans="1:10" ht="15">
      <c r="A19" s="122"/>
      <c r="B19" s="122" t="s">
        <v>95</v>
      </c>
      <c r="C19" s="122"/>
      <c r="D19" s="122"/>
      <c r="E19" s="122"/>
      <c r="F19" s="122"/>
      <c r="G19" s="122"/>
      <c r="H19" s="122"/>
      <c r="I19" s="122"/>
      <c r="J19" s="122"/>
    </row>
    <row r="20" spans="1:10" ht="15">
      <c r="A20" s="122"/>
      <c r="B20" s="122" t="s">
        <v>90</v>
      </c>
      <c r="C20" s="122"/>
      <c r="D20" s="122"/>
      <c r="E20" s="122"/>
      <c r="F20" s="122"/>
      <c r="G20" s="122"/>
      <c r="H20" s="122"/>
      <c r="I20" s="122"/>
      <c r="J20" s="122"/>
    </row>
    <row r="21" spans="1:10" ht="15">
      <c r="A21" s="122"/>
      <c r="B21" s="122" t="s">
        <v>91</v>
      </c>
      <c r="C21" s="122"/>
      <c r="D21" s="122"/>
      <c r="E21" s="122"/>
      <c r="F21" s="122"/>
      <c r="G21" s="122"/>
      <c r="H21" s="122"/>
      <c r="I21" s="122"/>
      <c r="J21" s="122"/>
    </row>
    <row r="22" spans="1:10" ht="15">
      <c r="A22" s="122"/>
      <c r="B22" s="122" t="s">
        <v>92</v>
      </c>
      <c r="C22" s="122"/>
      <c r="D22" s="122"/>
      <c r="E22" s="122"/>
      <c r="F22" s="122"/>
      <c r="G22" s="122"/>
      <c r="H22" s="122"/>
      <c r="I22" s="122"/>
      <c r="J22" s="122"/>
    </row>
    <row r="23" spans="1:10" ht="15">
      <c r="A23" s="122"/>
      <c r="B23" s="122" t="s">
        <v>93</v>
      </c>
      <c r="C23" s="122"/>
      <c r="D23" s="122"/>
      <c r="E23" s="122"/>
      <c r="F23" s="122"/>
      <c r="G23" s="122"/>
      <c r="H23" s="122"/>
      <c r="I23" s="122"/>
      <c r="J23" s="122"/>
    </row>
    <row r="24" spans="1:10" ht="15">
      <c r="A24" s="122"/>
      <c r="B24" s="122" t="s">
        <v>94</v>
      </c>
      <c r="C24" s="122"/>
      <c r="D24" s="122"/>
      <c r="E24" s="122"/>
      <c r="F24" s="122"/>
      <c r="G24" s="122"/>
      <c r="H24" s="122"/>
      <c r="I24" s="122"/>
      <c r="J24" s="122"/>
    </row>
    <row r="25" spans="1:13" ht="15">
      <c r="A25" s="122"/>
      <c r="B25" s="122"/>
      <c r="C25" s="122"/>
      <c r="D25" s="122"/>
      <c r="E25" s="122"/>
      <c r="F25" s="122"/>
      <c r="G25" s="122"/>
      <c r="H25" s="122"/>
      <c r="I25" s="122"/>
      <c r="J25" s="122"/>
      <c r="M25" s="121"/>
    </row>
    <row r="26" spans="1:13" ht="15">
      <c r="A26" s="122"/>
      <c r="B26" s="122"/>
      <c r="C26" s="122" t="s">
        <v>113</v>
      </c>
      <c r="D26" s="122"/>
      <c r="E26" s="122"/>
      <c r="F26" s="122"/>
      <c r="G26" s="122"/>
      <c r="H26" s="122"/>
      <c r="I26" s="122"/>
      <c r="J26" s="122"/>
      <c r="M26" s="121"/>
    </row>
    <row r="27" spans="1:10" ht="15">
      <c r="A27" s="122"/>
      <c r="B27" s="122"/>
      <c r="C27" s="122"/>
      <c r="D27" s="122"/>
      <c r="E27" s="122"/>
      <c r="F27" s="122"/>
      <c r="G27" s="122"/>
      <c r="H27" s="122"/>
      <c r="I27" s="122"/>
      <c r="J27" s="122"/>
    </row>
    <row r="28" spans="1:10" ht="15">
      <c r="A28" s="122"/>
      <c r="B28" s="122" t="s">
        <v>108</v>
      </c>
      <c r="C28" s="122"/>
      <c r="D28" s="122"/>
      <c r="E28" s="122"/>
      <c r="F28" s="122"/>
      <c r="G28" s="122"/>
      <c r="H28" s="122"/>
      <c r="I28" s="122"/>
      <c r="J28" s="122"/>
    </row>
    <row r="29" spans="1:10" ht="15">
      <c r="A29" s="122"/>
      <c r="B29" s="122" t="s">
        <v>90</v>
      </c>
      <c r="C29" s="122"/>
      <c r="D29" s="122"/>
      <c r="E29" s="122"/>
      <c r="F29" s="122"/>
      <c r="G29" s="122"/>
      <c r="H29" s="122"/>
      <c r="I29" s="122"/>
      <c r="J29" s="122"/>
    </row>
    <row r="30" spans="1:10" ht="15">
      <c r="A30" s="122"/>
      <c r="B30" s="122" t="s">
        <v>91</v>
      </c>
      <c r="C30" s="122"/>
      <c r="D30" s="122"/>
      <c r="E30" s="122"/>
      <c r="F30" s="122"/>
      <c r="G30" s="122"/>
      <c r="H30" s="122"/>
      <c r="I30" s="122"/>
      <c r="J30" s="122"/>
    </row>
    <row r="31" spans="1:10" ht="15">
      <c r="A31" s="122"/>
      <c r="B31" s="122" t="s">
        <v>96</v>
      </c>
      <c r="C31" s="122"/>
      <c r="D31" s="122"/>
      <c r="E31" s="122"/>
      <c r="F31" s="122"/>
      <c r="G31" s="122"/>
      <c r="H31" s="122"/>
      <c r="I31" s="122"/>
      <c r="J31" s="122"/>
    </row>
    <row r="32" spans="1:10" ht="15">
      <c r="A32" s="122"/>
      <c r="B32" s="122" t="s">
        <v>97</v>
      </c>
      <c r="C32" s="122"/>
      <c r="D32" s="122"/>
      <c r="E32" s="122"/>
      <c r="F32" s="122"/>
      <c r="G32" s="122"/>
      <c r="H32" s="122"/>
      <c r="I32" s="122"/>
      <c r="J32" s="122"/>
    </row>
    <row r="33" spans="1:10" ht="15.75">
      <c r="A33" s="122"/>
      <c r="B33" s="122" t="s">
        <v>98</v>
      </c>
      <c r="C33" s="122"/>
      <c r="D33" s="122"/>
      <c r="E33" s="122"/>
      <c r="F33" s="122"/>
      <c r="G33" s="122"/>
      <c r="H33" s="122"/>
      <c r="I33" s="122"/>
      <c r="J33" s="122"/>
    </row>
    <row r="34" spans="1:10" ht="15">
      <c r="A34" s="122"/>
      <c r="B34" s="122"/>
      <c r="C34" s="122"/>
      <c r="D34" s="122"/>
      <c r="E34" s="122"/>
      <c r="F34" s="122"/>
      <c r="G34" s="122"/>
      <c r="H34" s="122"/>
      <c r="I34" s="122"/>
      <c r="J34" s="122"/>
    </row>
    <row r="35" spans="1:10" ht="15">
      <c r="A35" s="122"/>
      <c r="B35" s="122"/>
      <c r="C35" s="122"/>
      <c r="D35" s="122"/>
      <c r="E35" s="122"/>
      <c r="F35" s="122"/>
      <c r="G35" s="122"/>
      <c r="H35" s="122"/>
      <c r="I35" s="122"/>
      <c r="J35" s="122"/>
    </row>
    <row r="36" spans="1:10" ht="15">
      <c r="A36" s="122"/>
      <c r="B36" s="122" t="s">
        <v>99</v>
      </c>
      <c r="C36" s="122"/>
      <c r="D36" s="122"/>
      <c r="E36" s="122"/>
      <c r="F36" s="122"/>
      <c r="G36" s="122"/>
      <c r="H36" s="122"/>
      <c r="I36" s="122"/>
      <c r="J36" s="122"/>
    </row>
    <row r="37" spans="1:10" ht="15">
      <c r="A37" s="122"/>
      <c r="B37" s="122" t="s">
        <v>100</v>
      </c>
      <c r="C37" s="122"/>
      <c r="D37" s="122"/>
      <c r="E37" s="122"/>
      <c r="F37" s="122"/>
      <c r="G37" s="122"/>
      <c r="H37" s="122"/>
      <c r="I37" s="122"/>
      <c r="J37" s="122"/>
    </row>
    <row r="38" spans="1:10" ht="15">
      <c r="A38" s="122"/>
      <c r="B38" s="122" t="s">
        <v>91</v>
      </c>
      <c r="C38" s="122"/>
      <c r="D38" s="122"/>
      <c r="E38" s="122"/>
      <c r="F38" s="122"/>
      <c r="G38" s="122"/>
      <c r="H38" s="122"/>
      <c r="I38" s="122"/>
      <c r="J38" s="122"/>
    </row>
    <row r="39" spans="1:10" ht="15">
      <c r="A39" s="122"/>
      <c r="B39" s="122" t="s">
        <v>96</v>
      </c>
      <c r="C39" s="122"/>
      <c r="D39" s="122"/>
      <c r="E39" s="122"/>
      <c r="F39" s="122"/>
      <c r="G39" s="122"/>
      <c r="H39" s="122"/>
      <c r="I39" s="122"/>
      <c r="J39" s="122"/>
    </row>
    <row r="40" spans="1:10" ht="15">
      <c r="A40" s="122"/>
      <c r="B40" s="122" t="s">
        <v>101</v>
      </c>
      <c r="C40" s="122"/>
      <c r="D40" s="122"/>
      <c r="E40" s="122"/>
      <c r="F40" s="122"/>
      <c r="G40" s="122"/>
      <c r="H40" s="122"/>
      <c r="I40" s="122"/>
      <c r="J40" s="122"/>
    </row>
    <row r="41" spans="1:10" ht="15">
      <c r="A41" s="122"/>
      <c r="B41" s="122" t="s">
        <v>102</v>
      </c>
      <c r="C41" s="122"/>
      <c r="D41" s="122"/>
      <c r="E41" s="122"/>
      <c r="F41" s="122"/>
      <c r="G41" s="122"/>
      <c r="H41" s="122"/>
      <c r="I41" s="122"/>
      <c r="J41" s="122"/>
    </row>
    <row r="42" spans="1:10" ht="15">
      <c r="A42" s="122"/>
      <c r="B42" s="122" t="s">
        <v>103</v>
      </c>
      <c r="C42" s="122"/>
      <c r="D42" s="122"/>
      <c r="E42" s="122"/>
      <c r="F42" s="122"/>
      <c r="G42" s="122"/>
      <c r="H42" s="122"/>
      <c r="I42" s="122"/>
      <c r="J42" s="122"/>
    </row>
    <row r="43" spans="1:10" ht="15">
      <c r="A43" s="122"/>
      <c r="B43" s="122"/>
      <c r="C43" s="122"/>
      <c r="D43" s="122"/>
      <c r="E43" s="122"/>
      <c r="F43" s="122"/>
      <c r="G43" s="122"/>
      <c r="H43" s="122"/>
      <c r="I43" s="122"/>
      <c r="J43" s="122"/>
    </row>
    <row r="44" spans="1:10" ht="15">
      <c r="A44" s="122"/>
      <c r="B44" s="122"/>
      <c r="C44" s="122"/>
      <c r="D44" s="122"/>
      <c r="E44" s="122"/>
      <c r="F44" s="122"/>
      <c r="G44" s="122"/>
      <c r="H44" s="122"/>
      <c r="I44" s="122"/>
      <c r="J44" s="122"/>
    </row>
    <row r="45" spans="1:10" ht="15">
      <c r="A45" s="122"/>
      <c r="B45" s="122" t="s">
        <v>104</v>
      </c>
      <c r="C45" s="122"/>
      <c r="D45" s="122"/>
      <c r="E45" s="122"/>
      <c r="F45" s="122"/>
      <c r="G45" s="122"/>
      <c r="H45" s="122"/>
      <c r="I45" s="122"/>
      <c r="J45" s="122"/>
    </row>
    <row r="46" spans="1:10" ht="15">
      <c r="A46" s="122"/>
      <c r="B46" s="122" t="s">
        <v>100</v>
      </c>
      <c r="C46" s="122"/>
      <c r="D46" s="122"/>
      <c r="E46" s="122"/>
      <c r="F46" s="122"/>
      <c r="G46" s="122"/>
      <c r="H46" s="122"/>
      <c r="I46" s="122"/>
      <c r="J46" s="122"/>
    </row>
    <row r="47" spans="1:10" ht="15">
      <c r="A47" s="122"/>
      <c r="B47" s="122" t="s">
        <v>91</v>
      </c>
      <c r="C47" s="122"/>
      <c r="D47" s="122"/>
      <c r="E47" s="122"/>
      <c r="F47" s="122"/>
      <c r="G47" s="122"/>
      <c r="H47" s="122"/>
      <c r="I47" s="122"/>
      <c r="J47" s="122"/>
    </row>
    <row r="48" spans="1:10" ht="15">
      <c r="A48" s="122"/>
      <c r="B48" s="122" t="s">
        <v>96</v>
      </c>
      <c r="C48" s="122"/>
      <c r="D48" s="122"/>
      <c r="E48" s="122"/>
      <c r="F48" s="122"/>
      <c r="G48" s="122"/>
      <c r="H48" s="122"/>
      <c r="I48" s="122"/>
      <c r="J48" s="122"/>
    </row>
    <row r="49" spans="1:10" ht="15">
      <c r="A49" s="122"/>
      <c r="B49" s="122" t="s">
        <v>105</v>
      </c>
      <c r="C49" s="122"/>
      <c r="D49" s="122"/>
      <c r="E49" s="122"/>
      <c r="F49" s="122"/>
      <c r="G49" s="122"/>
      <c r="H49" s="122"/>
      <c r="I49" s="122"/>
      <c r="J49" s="122"/>
    </row>
    <row r="50" spans="1:10" ht="15">
      <c r="A50" s="122"/>
      <c r="B50" s="122" t="s">
        <v>106</v>
      </c>
      <c r="C50" s="122"/>
      <c r="D50" s="122"/>
      <c r="E50" s="122"/>
      <c r="F50" s="122"/>
      <c r="G50" s="122"/>
      <c r="H50" s="122"/>
      <c r="I50" s="122"/>
      <c r="J50" s="122"/>
    </row>
    <row r="51" spans="1:10" ht="15">
      <c r="A51" s="122"/>
      <c r="B51" s="122" t="s">
        <v>107</v>
      </c>
      <c r="C51" s="122"/>
      <c r="D51" s="122"/>
      <c r="E51" s="122"/>
      <c r="F51" s="122"/>
      <c r="G51" s="122"/>
      <c r="H51" s="122"/>
      <c r="I51" s="122"/>
      <c r="J51" s="122"/>
    </row>
    <row r="54" ht="15">
      <c r="B54" s="120" t="s">
        <v>139</v>
      </c>
    </row>
    <row r="56" ht="15">
      <c r="B56" s="318" t="s">
        <v>140</v>
      </c>
    </row>
    <row r="57" ht="15">
      <c r="B57" s="319" t="s">
        <v>141</v>
      </c>
    </row>
    <row r="58" ht="15">
      <c r="B58" s="120" t="s">
        <v>142</v>
      </c>
    </row>
    <row r="59" ht="15">
      <c r="B59" s="120" t="s">
        <v>143</v>
      </c>
    </row>
    <row r="60" ht="15">
      <c r="B60" s="120" t="s">
        <v>144</v>
      </c>
    </row>
    <row r="61" spans="2:10" ht="15">
      <c r="B61" s="931" t="s">
        <v>145</v>
      </c>
      <c r="C61" s="932"/>
      <c r="D61" s="932"/>
      <c r="E61" s="932"/>
      <c r="F61" s="932"/>
      <c r="G61" s="932"/>
      <c r="H61" s="932"/>
      <c r="I61" s="932"/>
      <c r="J61" s="932"/>
    </row>
    <row r="62" spans="2:10" ht="15">
      <c r="B62" s="932"/>
      <c r="C62" s="932"/>
      <c r="D62" s="932"/>
      <c r="E62" s="932"/>
      <c r="F62" s="932"/>
      <c r="G62" s="932"/>
      <c r="H62" s="932"/>
      <c r="I62" s="932"/>
      <c r="J62" s="932"/>
    </row>
    <row r="63" spans="2:10" ht="15">
      <c r="B63" s="932"/>
      <c r="C63" s="932"/>
      <c r="D63" s="932"/>
      <c r="E63" s="932"/>
      <c r="F63" s="932"/>
      <c r="G63" s="932"/>
      <c r="H63" s="932"/>
      <c r="I63" s="932"/>
      <c r="J63" s="932"/>
    </row>
    <row r="65" ht="15">
      <c r="B65" s="120" t="s">
        <v>146</v>
      </c>
    </row>
    <row r="66" ht="15">
      <c r="B66" s="120" t="s">
        <v>147</v>
      </c>
    </row>
    <row r="68" ht="15">
      <c r="B68" s="120" t="s">
        <v>148</v>
      </c>
    </row>
    <row r="69" ht="15">
      <c r="B69" s="120" t="s">
        <v>149</v>
      </c>
    </row>
    <row r="70" ht="15">
      <c r="B70" s="120" t="s">
        <v>150</v>
      </c>
    </row>
    <row r="71" ht="15">
      <c r="C71" s="120" t="s">
        <v>151</v>
      </c>
    </row>
    <row r="72" ht="15">
      <c r="C72" s="120" t="s">
        <v>152</v>
      </c>
    </row>
    <row r="73" ht="15">
      <c r="B73" s="120" t="s">
        <v>153</v>
      </c>
    </row>
    <row r="74" ht="15">
      <c r="B74" s="120" t="s">
        <v>154</v>
      </c>
    </row>
    <row r="75" ht="15">
      <c r="B75" s="120" t="s">
        <v>155</v>
      </c>
    </row>
    <row r="76" ht="15">
      <c r="B76" s="120" t="s">
        <v>156</v>
      </c>
    </row>
    <row r="77" ht="15">
      <c r="B77" s="120" t="s">
        <v>157</v>
      </c>
    </row>
    <row r="78" ht="15">
      <c r="B78" s="120" t="s">
        <v>158</v>
      </c>
    </row>
    <row r="79" ht="15">
      <c r="B79" s="120" t="s">
        <v>159</v>
      </c>
    </row>
    <row r="81" ht="15">
      <c r="B81" s="120" t="s">
        <v>240</v>
      </c>
    </row>
    <row r="82" ht="15">
      <c r="B82" s="120" t="s">
        <v>241</v>
      </c>
    </row>
    <row r="84" ht="15">
      <c r="B84" s="120" t="s">
        <v>242</v>
      </c>
    </row>
    <row r="85" ht="15">
      <c r="B85" s="120" t="s">
        <v>243</v>
      </c>
    </row>
    <row r="87" ht="15">
      <c r="B87" s="120" t="s">
        <v>244</v>
      </c>
    </row>
    <row r="88" ht="15">
      <c r="B88" s="120" t="s">
        <v>245</v>
      </c>
    </row>
    <row r="90" ht="15">
      <c r="B90" s="120" t="s">
        <v>246</v>
      </c>
    </row>
    <row r="91" ht="15">
      <c r="B91" s="120" t="s">
        <v>247</v>
      </c>
    </row>
    <row r="92" ht="15">
      <c r="B92" s="120" t="s">
        <v>248</v>
      </c>
    </row>
    <row r="94" ht="15">
      <c r="B94" s="120" t="s">
        <v>258</v>
      </c>
    </row>
    <row r="95" ht="15">
      <c r="B95" s="120" t="s">
        <v>259</v>
      </c>
    </row>
    <row r="97" ht="15">
      <c r="B97" s="120" t="s">
        <v>260</v>
      </c>
    </row>
    <row r="98" ht="15">
      <c r="B98" s="120" t="s">
        <v>261</v>
      </c>
    </row>
    <row r="99" ht="15">
      <c r="B99" s="120" t="s">
        <v>262</v>
      </c>
    </row>
    <row r="100" ht="15">
      <c r="B100" s="120" t="s">
        <v>263</v>
      </c>
    </row>
    <row r="101" ht="15">
      <c r="B101" s="120" t="s">
        <v>264</v>
      </c>
    </row>
    <row r="102" ht="15">
      <c r="B102" s="120" t="s">
        <v>265</v>
      </c>
    </row>
    <row r="104" ht="15">
      <c r="B104" s="120" t="s">
        <v>298</v>
      </c>
    </row>
    <row r="105" ht="15">
      <c r="B105" s="120" t="s">
        <v>299</v>
      </c>
    </row>
    <row r="106" ht="15">
      <c r="B106" s="120" t="s">
        <v>300</v>
      </c>
    </row>
    <row r="107" ht="15">
      <c r="B107" s="120" t="s">
        <v>301</v>
      </c>
    </row>
    <row r="108" ht="15">
      <c r="B108" s="120" t="s">
        <v>302</v>
      </c>
    </row>
    <row r="109" ht="15">
      <c r="B109" s="120" t="s">
        <v>303</v>
      </c>
    </row>
    <row r="110" ht="15">
      <c r="B110" s="120" t="s">
        <v>304</v>
      </c>
    </row>
    <row r="111" ht="15">
      <c r="B111" s="120" t="s">
        <v>305</v>
      </c>
    </row>
    <row r="112" ht="15">
      <c r="B112" s="120" t="s">
        <v>306</v>
      </c>
    </row>
    <row r="113" ht="15">
      <c r="B113" s="120" t="s">
        <v>307</v>
      </c>
    </row>
    <row r="114" ht="15">
      <c r="B114" s="120" t="s">
        <v>308</v>
      </c>
    </row>
    <row r="116" ht="15">
      <c r="B116" s="120" t="s">
        <v>309</v>
      </c>
    </row>
    <row r="117" ht="15">
      <c r="B117" s="120" t="s">
        <v>310</v>
      </c>
    </row>
    <row r="118" ht="15">
      <c r="B118" s="120" t="s">
        <v>311</v>
      </c>
    </row>
    <row r="119" ht="15">
      <c r="B119" s="120" t="s">
        <v>312</v>
      </c>
    </row>
    <row r="120" ht="15">
      <c r="B120" s="120" t="s">
        <v>313</v>
      </c>
    </row>
    <row r="121" ht="15">
      <c r="B121" s="120" t="s">
        <v>314</v>
      </c>
    </row>
    <row r="122" ht="15">
      <c r="B122" s="120" t="s">
        <v>315</v>
      </c>
    </row>
    <row r="123" ht="15">
      <c r="B123" s="120" t="s">
        <v>316</v>
      </c>
    </row>
    <row r="124" ht="15">
      <c r="B124" s="120" t="s">
        <v>317</v>
      </c>
    </row>
    <row r="125" ht="15">
      <c r="B125" s="120" t="s">
        <v>318</v>
      </c>
    </row>
    <row r="126" ht="15">
      <c r="B126" s="120" t="s">
        <v>319</v>
      </c>
    </row>
    <row r="127" ht="15">
      <c r="B127" s="120" t="s">
        <v>320</v>
      </c>
    </row>
    <row r="128" ht="15">
      <c r="B128" s="120" t="s">
        <v>321</v>
      </c>
    </row>
    <row r="129" ht="15">
      <c r="B129" s="120" t="s">
        <v>322</v>
      </c>
    </row>
    <row r="130" ht="15">
      <c r="B130" s="120" t="s">
        <v>323</v>
      </c>
    </row>
    <row r="131" ht="15">
      <c r="B131" s="120" t="s">
        <v>324</v>
      </c>
    </row>
    <row r="132" ht="15">
      <c r="B132" s="120" t="s">
        <v>325</v>
      </c>
    </row>
    <row r="133" ht="15">
      <c r="B133" s="120" t="s">
        <v>326</v>
      </c>
    </row>
    <row r="134" ht="15">
      <c r="B134" s="120" t="s">
        <v>327</v>
      </c>
    </row>
    <row r="136" ht="15">
      <c r="B136" s="120" t="s">
        <v>334</v>
      </c>
    </row>
    <row r="137" ht="15">
      <c r="B137" s="120" t="s">
        <v>329</v>
      </c>
    </row>
    <row r="138" ht="15">
      <c r="B138" s="120" t="s">
        <v>330</v>
      </c>
    </row>
    <row r="139" ht="15">
      <c r="B139" s="120" t="s">
        <v>331</v>
      </c>
    </row>
    <row r="140" ht="15">
      <c r="B140" s="120" t="s">
        <v>332</v>
      </c>
    </row>
    <row r="141" ht="15">
      <c r="B141" s="120" t="s">
        <v>333</v>
      </c>
    </row>
    <row r="143" ht="15">
      <c r="B143" s="120" t="s">
        <v>335</v>
      </c>
    </row>
    <row r="144" ht="15">
      <c r="B144" s="120" t="s">
        <v>336</v>
      </c>
    </row>
    <row r="145" ht="15">
      <c r="B145" s="120" t="s">
        <v>337</v>
      </c>
    </row>
    <row r="146" ht="15">
      <c r="B146" s="120" t="s">
        <v>338</v>
      </c>
    </row>
    <row r="147" ht="15">
      <c r="B147" s="120" t="s">
        <v>339</v>
      </c>
    </row>
    <row r="148" ht="15">
      <c r="B148" s="120" t="s">
        <v>340</v>
      </c>
    </row>
    <row r="149" ht="15">
      <c r="B149" s="120" t="s">
        <v>341</v>
      </c>
    </row>
    <row r="150" ht="15">
      <c r="B150" s="120" t="s">
        <v>342</v>
      </c>
    </row>
    <row r="151" ht="15">
      <c r="B151" s="120" t="s">
        <v>343</v>
      </c>
    </row>
    <row r="152" ht="15">
      <c r="B152" s="120" t="s">
        <v>344</v>
      </c>
    </row>
    <row r="154" ht="15.75" thickBot="1"/>
    <row r="155" spans="1:10" ht="15">
      <c r="A155" s="933" t="s">
        <v>387</v>
      </c>
      <c r="B155" s="934"/>
      <c r="C155" s="934"/>
      <c r="D155" s="934"/>
      <c r="E155" s="934"/>
      <c r="F155" s="934"/>
      <c r="G155" s="934"/>
      <c r="H155" s="934"/>
      <c r="I155" s="934"/>
      <c r="J155" s="935"/>
    </row>
    <row r="156" spans="1:10" ht="15">
      <c r="A156" s="936"/>
      <c r="B156" s="937"/>
      <c r="C156" s="937"/>
      <c r="D156" s="937"/>
      <c r="E156" s="937"/>
      <c r="F156" s="937"/>
      <c r="G156" s="937"/>
      <c r="H156" s="937"/>
      <c r="I156" s="937"/>
      <c r="J156" s="938"/>
    </row>
    <row r="157" spans="1:10" ht="15">
      <c r="A157" s="936"/>
      <c r="B157" s="937"/>
      <c r="C157" s="937"/>
      <c r="D157" s="937"/>
      <c r="E157" s="937"/>
      <c r="F157" s="937"/>
      <c r="G157" s="937"/>
      <c r="H157" s="937"/>
      <c r="I157" s="937"/>
      <c r="J157" s="938"/>
    </row>
    <row r="158" spans="1:10" ht="15">
      <c r="A158" s="936"/>
      <c r="B158" s="937"/>
      <c r="C158" s="937"/>
      <c r="D158" s="937"/>
      <c r="E158" s="937"/>
      <c r="F158" s="937"/>
      <c r="G158" s="937"/>
      <c r="H158" s="937"/>
      <c r="I158" s="937"/>
      <c r="J158" s="938"/>
    </row>
    <row r="159" spans="1:10" ht="15">
      <c r="A159" s="936"/>
      <c r="B159" s="937"/>
      <c r="C159" s="937"/>
      <c r="D159" s="937"/>
      <c r="E159" s="937"/>
      <c r="F159" s="937"/>
      <c r="G159" s="937"/>
      <c r="H159" s="937"/>
      <c r="I159" s="937"/>
      <c r="J159" s="938"/>
    </row>
    <row r="160" spans="1:10" ht="15">
      <c r="A160" s="936"/>
      <c r="B160" s="937"/>
      <c r="C160" s="937"/>
      <c r="D160" s="937"/>
      <c r="E160" s="937"/>
      <c r="F160" s="937"/>
      <c r="G160" s="937"/>
      <c r="H160" s="937"/>
      <c r="I160" s="937"/>
      <c r="J160" s="938"/>
    </row>
    <row r="161" spans="1:10" ht="15">
      <c r="A161" s="936"/>
      <c r="B161" s="937"/>
      <c r="C161" s="937"/>
      <c r="D161" s="937"/>
      <c r="E161" s="937"/>
      <c r="F161" s="937"/>
      <c r="G161" s="937"/>
      <c r="H161" s="937"/>
      <c r="I161" s="937"/>
      <c r="J161" s="938"/>
    </row>
    <row r="162" spans="1:10" ht="15">
      <c r="A162" s="936"/>
      <c r="B162" s="937"/>
      <c r="C162" s="937"/>
      <c r="D162" s="937"/>
      <c r="E162" s="937"/>
      <c r="F162" s="937"/>
      <c r="G162" s="937"/>
      <c r="H162" s="937"/>
      <c r="I162" s="937"/>
      <c r="J162" s="938"/>
    </row>
    <row r="163" spans="1:10" ht="15">
      <c r="A163" s="936"/>
      <c r="B163" s="937"/>
      <c r="C163" s="937"/>
      <c r="D163" s="937"/>
      <c r="E163" s="937"/>
      <c r="F163" s="937"/>
      <c r="G163" s="937"/>
      <c r="H163" s="937"/>
      <c r="I163" s="937"/>
      <c r="J163" s="938"/>
    </row>
    <row r="164" spans="1:10" ht="15">
      <c r="A164" s="936"/>
      <c r="B164" s="937"/>
      <c r="C164" s="937"/>
      <c r="D164" s="937"/>
      <c r="E164" s="937"/>
      <c r="F164" s="937"/>
      <c r="G164" s="937"/>
      <c r="H164" s="937"/>
      <c r="I164" s="937"/>
      <c r="J164" s="938"/>
    </row>
    <row r="165" spans="1:10" ht="15">
      <c r="A165" s="936"/>
      <c r="B165" s="937"/>
      <c r="C165" s="937"/>
      <c r="D165" s="937"/>
      <c r="E165" s="937"/>
      <c r="F165" s="937"/>
      <c r="G165" s="937"/>
      <c r="H165" s="937"/>
      <c r="I165" s="937"/>
      <c r="J165" s="938"/>
    </row>
    <row r="166" spans="1:10" ht="15">
      <c r="A166" s="936"/>
      <c r="B166" s="937"/>
      <c r="C166" s="937"/>
      <c r="D166" s="937"/>
      <c r="E166" s="937"/>
      <c r="F166" s="937"/>
      <c r="G166" s="937"/>
      <c r="H166" s="937"/>
      <c r="I166" s="937"/>
      <c r="J166" s="938"/>
    </row>
    <row r="167" spans="1:10" ht="15">
      <c r="A167" s="936"/>
      <c r="B167" s="937"/>
      <c r="C167" s="937"/>
      <c r="D167" s="937"/>
      <c r="E167" s="937"/>
      <c r="F167" s="937"/>
      <c r="G167" s="937"/>
      <c r="H167" s="937"/>
      <c r="I167" s="937"/>
      <c r="J167" s="938"/>
    </row>
    <row r="168" spans="1:10" ht="15">
      <c r="A168" s="936"/>
      <c r="B168" s="937"/>
      <c r="C168" s="937"/>
      <c r="D168" s="937"/>
      <c r="E168" s="937"/>
      <c r="F168" s="937"/>
      <c r="G168" s="937"/>
      <c r="H168" s="937"/>
      <c r="I168" s="937"/>
      <c r="J168" s="938"/>
    </row>
    <row r="169" spans="1:10" ht="15">
      <c r="A169" s="936"/>
      <c r="B169" s="937"/>
      <c r="C169" s="937"/>
      <c r="D169" s="937"/>
      <c r="E169" s="937"/>
      <c r="F169" s="937"/>
      <c r="G169" s="937"/>
      <c r="H169" s="937"/>
      <c r="I169" s="937"/>
      <c r="J169" s="938"/>
    </row>
    <row r="170" spans="1:10" ht="15">
      <c r="A170" s="936"/>
      <c r="B170" s="937"/>
      <c r="C170" s="937"/>
      <c r="D170" s="937"/>
      <c r="E170" s="937"/>
      <c r="F170" s="937"/>
      <c r="G170" s="937"/>
      <c r="H170" s="937"/>
      <c r="I170" s="937"/>
      <c r="J170" s="938"/>
    </row>
    <row r="171" spans="1:10" ht="15">
      <c r="A171" s="936"/>
      <c r="B171" s="937"/>
      <c r="C171" s="937"/>
      <c r="D171" s="937"/>
      <c r="E171" s="937"/>
      <c r="F171" s="937"/>
      <c r="G171" s="937"/>
      <c r="H171" s="937"/>
      <c r="I171" s="937"/>
      <c r="J171" s="938"/>
    </row>
    <row r="172" spans="1:10" ht="15">
      <c r="A172" s="936"/>
      <c r="B172" s="937"/>
      <c r="C172" s="937"/>
      <c r="D172" s="937"/>
      <c r="E172" s="937"/>
      <c r="F172" s="937"/>
      <c r="G172" s="937"/>
      <c r="H172" s="937"/>
      <c r="I172" s="937"/>
      <c r="J172" s="938"/>
    </row>
    <row r="173" spans="1:10" ht="15">
      <c r="A173" s="936"/>
      <c r="B173" s="937"/>
      <c r="C173" s="937"/>
      <c r="D173" s="937"/>
      <c r="E173" s="937"/>
      <c r="F173" s="937"/>
      <c r="G173" s="937"/>
      <c r="H173" s="937"/>
      <c r="I173" s="937"/>
      <c r="J173" s="938"/>
    </row>
    <row r="174" spans="1:10" ht="15">
      <c r="A174" s="936"/>
      <c r="B174" s="937"/>
      <c r="C174" s="937"/>
      <c r="D174" s="937"/>
      <c r="E174" s="937"/>
      <c r="F174" s="937"/>
      <c r="G174" s="937"/>
      <c r="H174" s="937"/>
      <c r="I174" s="937"/>
      <c r="J174" s="938"/>
    </row>
    <row r="175" spans="1:10" ht="15">
      <c r="A175" s="936"/>
      <c r="B175" s="937"/>
      <c r="C175" s="937"/>
      <c r="D175" s="937"/>
      <c r="E175" s="937"/>
      <c r="F175" s="937"/>
      <c r="G175" s="937"/>
      <c r="H175" s="937"/>
      <c r="I175" s="937"/>
      <c r="J175" s="938"/>
    </row>
    <row r="176" spans="1:10" ht="15">
      <c r="A176" s="936"/>
      <c r="B176" s="937"/>
      <c r="C176" s="937"/>
      <c r="D176" s="937"/>
      <c r="E176" s="937"/>
      <c r="F176" s="937"/>
      <c r="G176" s="937"/>
      <c r="H176" s="937"/>
      <c r="I176" s="937"/>
      <c r="J176" s="938"/>
    </row>
    <row r="177" spans="1:10" ht="15">
      <c r="A177" s="936"/>
      <c r="B177" s="937"/>
      <c r="C177" s="937"/>
      <c r="D177" s="937"/>
      <c r="E177" s="937"/>
      <c r="F177" s="937"/>
      <c r="G177" s="937"/>
      <c r="H177" s="937"/>
      <c r="I177" s="937"/>
      <c r="J177" s="938"/>
    </row>
    <row r="178" spans="1:10" ht="15">
      <c r="A178" s="936"/>
      <c r="B178" s="937"/>
      <c r="C178" s="937"/>
      <c r="D178" s="937"/>
      <c r="E178" s="937"/>
      <c r="F178" s="937"/>
      <c r="G178" s="937"/>
      <c r="H178" s="937"/>
      <c r="I178" s="937"/>
      <c r="J178" s="938"/>
    </row>
    <row r="179" spans="1:10" ht="15">
      <c r="A179" s="936"/>
      <c r="B179" s="937"/>
      <c r="C179" s="937"/>
      <c r="D179" s="937"/>
      <c r="E179" s="937"/>
      <c r="F179" s="937"/>
      <c r="G179" s="937"/>
      <c r="H179" s="937"/>
      <c r="I179" s="937"/>
      <c r="J179" s="938"/>
    </row>
    <row r="180" spans="1:10" ht="15">
      <c r="A180" s="936"/>
      <c r="B180" s="937"/>
      <c r="C180" s="937"/>
      <c r="D180" s="937"/>
      <c r="E180" s="937"/>
      <c r="F180" s="937"/>
      <c r="G180" s="937"/>
      <c r="H180" s="937"/>
      <c r="I180" s="937"/>
      <c r="J180" s="938"/>
    </row>
    <row r="181" spans="1:10" ht="15">
      <c r="A181" s="936"/>
      <c r="B181" s="937"/>
      <c r="C181" s="937"/>
      <c r="D181" s="937"/>
      <c r="E181" s="937"/>
      <c r="F181" s="937"/>
      <c r="G181" s="937"/>
      <c r="H181" s="937"/>
      <c r="I181" s="937"/>
      <c r="J181" s="938"/>
    </row>
    <row r="182" spans="1:10" ht="15">
      <c r="A182" s="936"/>
      <c r="B182" s="937"/>
      <c r="C182" s="937"/>
      <c r="D182" s="937"/>
      <c r="E182" s="937"/>
      <c r="F182" s="937"/>
      <c r="G182" s="937"/>
      <c r="H182" s="937"/>
      <c r="I182" s="937"/>
      <c r="J182" s="938"/>
    </row>
    <row r="183" spans="1:10" ht="15">
      <c r="A183" s="936"/>
      <c r="B183" s="937"/>
      <c r="C183" s="937"/>
      <c r="D183" s="937"/>
      <c r="E183" s="937"/>
      <c r="F183" s="937"/>
      <c r="G183" s="937"/>
      <c r="H183" s="937"/>
      <c r="I183" s="937"/>
      <c r="J183" s="938"/>
    </row>
    <row r="184" spans="1:10" ht="15">
      <c r="A184" s="936"/>
      <c r="B184" s="937"/>
      <c r="C184" s="937"/>
      <c r="D184" s="937"/>
      <c r="E184" s="937"/>
      <c r="F184" s="937"/>
      <c r="G184" s="937"/>
      <c r="H184" s="937"/>
      <c r="I184" s="937"/>
      <c r="J184" s="938"/>
    </row>
    <row r="185" spans="1:10" ht="15">
      <c r="A185" s="936"/>
      <c r="B185" s="937"/>
      <c r="C185" s="937"/>
      <c r="D185" s="937"/>
      <c r="E185" s="937"/>
      <c r="F185" s="937"/>
      <c r="G185" s="937"/>
      <c r="H185" s="937"/>
      <c r="I185" s="937"/>
      <c r="J185" s="938"/>
    </row>
    <row r="186" spans="1:10" ht="15">
      <c r="A186" s="936"/>
      <c r="B186" s="937"/>
      <c r="C186" s="937"/>
      <c r="D186" s="937"/>
      <c r="E186" s="937"/>
      <c r="F186" s="937"/>
      <c r="G186" s="937"/>
      <c r="H186" s="937"/>
      <c r="I186" s="937"/>
      <c r="J186" s="938"/>
    </row>
    <row r="187" spans="1:10" ht="15">
      <c r="A187" s="936"/>
      <c r="B187" s="937"/>
      <c r="C187" s="937"/>
      <c r="D187" s="937"/>
      <c r="E187" s="937"/>
      <c r="F187" s="937"/>
      <c r="G187" s="937"/>
      <c r="H187" s="937"/>
      <c r="I187" s="937"/>
      <c r="J187" s="938"/>
    </row>
    <row r="188" spans="1:10" ht="15">
      <c r="A188" s="936"/>
      <c r="B188" s="937"/>
      <c r="C188" s="937"/>
      <c r="D188" s="937"/>
      <c r="E188" s="937"/>
      <c r="F188" s="937"/>
      <c r="G188" s="937"/>
      <c r="H188" s="937"/>
      <c r="I188" s="937"/>
      <c r="J188" s="938"/>
    </row>
    <row r="189" spans="1:10" ht="15">
      <c r="A189" s="936"/>
      <c r="B189" s="937"/>
      <c r="C189" s="937"/>
      <c r="D189" s="937"/>
      <c r="E189" s="937"/>
      <c r="F189" s="937"/>
      <c r="G189" s="937"/>
      <c r="H189" s="937"/>
      <c r="I189" s="937"/>
      <c r="J189" s="938"/>
    </row>
    <row r="190" spans="1:10" ht="15">
      <c r="A190" s="936"/>
      <c r="B190" s="937"/>
      <c r="C190" s="937"/>
      <c r="D190" s="937"/>
      <c r="E190" s="937"/>
      <c r="F190" s="937"/>
      <c r="G190" s="937"/>
      <c r="H190" s="937"/>
      <c r="I190" s="937"/>
      <c r="J190" s="938"/>
    </row>
    <row r="191" spans="1:10" ht="15">
      <c r="A191" s="936"/>
      <c r="B191" s="937"/>
      <c r="C191" s="937"/>
      <c r="D191" s="937"/>
      <c r="E191" s="937"/>
      <c r="F191" s="937"/>
      <c r="G191" s="937"/>
      <c r="H191" s="937"/>
      <c r="I191" s="937"/>
      <c r="J191" s="938"/>
    </row>
    <row r="192" spans="1:10" ht="15.75" thickBot="1">
      <c r="A192" s="939"/>
      <c r="B192" s="940"/>
      <c r="C192" s="940"/>
      <c r="D192" s="940"/>
      <c r="E192" s="940"/>
      <c r="F192" s="940"/>
      <c r="G192" s="940"/>
      <c r="H192" s="940"/>
      <c r="I192" s="940"/>
      <c r="J192" s="941"/>
    </row>
    <row r="194" ht="15">
      <c r="B194" s="680">
        <v>39461</v>
      </c>
    </row>
    <row r="195" ht="15">
      <c r="B195" s="120" t="s">
        <v>349</v>
      </c>
    </row>
    <row r="196" ht="15">
      <c r="B196" s="120" t="s">
        <v>350</v>
      </c>
    </row>
    <row r="197" ht="15">
      <c r="B197" s="120" t="s">
        <v>351</v>
      </c>
    </row>
    <row r="199" ht="15">
      <c r="B199" s="120" t="s">
        <v>352</v>
      </c>
    </row>
    <row r="200" ht="15">
      <c r="B200" s="120" t="s">
        <v>353</v>
      </c>
    </row>
    <row r="203" ht="15">
      <c r="B203" s="680">
        <v>39462</v>
      </c>
    </row>
    <row r="204" ht="15">
      <c r="B204" s="120" t="s">
        <v>388</v>
      </c>
    </row>
    <row r="206" ht="15">
      <c r="B206" s="680">
        <v>39518</v>
      </c>
    </row>
    <row r="207" ht="15">
      <c r="B207" s="120" t="s">
        <v>389</v>
      </c>
    </row>
    <row r="209" ht="15">
      <c r="B209" s="680">
        <v>39521</v>
      </c>
    </row>
    <row r="210" ht="15">
      <c r="B210" s="120" t="s">
        <v>373</v>
      </c>
    </row>
    <row r="211" ht="15">
      <c r="B211" s="120" t="s">
        <v>375</v>
      </c>
    </row>
    <row r="213" ht="15">
      <c r="B213" s="680">
        <v>39527</v>
      </c>
    </row>
    <row r="214" ht="15">
      <c r="B214" s="120" t="s">
        <v>390</v>
      </c>
    </row>
    <row r="216" ht="15">
      <c r="B216" s="680">
        <v>39548</v>
      </c>
    </row>
    <row r="217" ht="15">
      <c r="B217" s="120" t="s">
        <v>391</v>
      </c>
    </row>
    <row r="219" ht="15">
      <c r="B219" s="680">
        <v>39589</v>
      </c>
    </row>
    <row r="220" ht="15">
      <c r="B220" s="120" t="s">
        <v>380</v>
      </c>
    </row>
    <row r="222" ht="15">
      <c r="B222" s="680">
        <v>39631</v>
      </c>
    </row>
    <row r="223" ht="15">
      <c r="B223" s="120" t="s">
        <v>392</v>
      </c>
    </row>
    <row r="225" ht="15">
      <c r="B225" s="680">
        <v>39657</v>
      </c>
    </row>
    <row r="226" ht="15">
      <c r="B226" s="120" t="s">
        <v>393</v>
      </c>
    </row>
    <row r="227" ht="15">
      <c r="B227" s="120" t="s">
        <v>394</v>
      </c>
    </row>
    <row r="228" ht="15">
      <c r="B228" s="120" t="s">
        <v>395</v>
      </c>
    </row>
    <row r="230" ht="15">
      <c r="B230" s="680">
        <v>39661</v>
      </c>
    </row>
    <row r="231" ht="15">
      <c r="B231" s="120" t="s">
        <v>382</v>
      </c>
    </row>
    <row r="232" ht="15">
      <c r="B232" s="120" t="s">
        <v>386</v>
      </c>
    </row>
    <row r="234" ht="15">
      <c r="B234" s="680">
        <v>39821</v>
      </c>
    </row>
    <row r="235" ht="15">
      <c r="B235" s="120" t="s">
        <v>396</v>
      </c>
    </row>
    <row r="236" ht="15">
      <c r="B236" s="120" t="s">
        <v>397</v>
      </c>
    </row>
    <row r="238" ht="15">
      <c r="B238" s="680">
        <v>40273</v>
      </c>
    </row>
    <row r="239" ht="15">
      <c r="B239" s="120" t="s">
        <v>396</v>
      </c>
    </row>
    <row r="240" ht="15">
      <c r="B240" s="120" t="s">
        <v>397</v>
      </c>
    </row>
  </sheetData>
  <sheetProtection password="DC2C" sheet="1" objects="1" scenarios="1"/>
  <mergeCells count="3">
    <mergeCell ref="A4:J4"/>
    <mergeCell ref="B61:J63"/>
    <mergeCell ref="A155:J192"/>
  </mergeCells>
  <printOptions/>
  <pageMargins left="0.75" right="0.75" top="1" bottom="1" header="0.5" footer="0.5"/>
  <pageSetup horizontalDpi="300" verticalDpi="300" orientation="portrait" scale="92" r:id="rId1"/>
  <rowBreaks count="2" manualBreakCount="2">
    <brk id="43" max="255" man="1"/>
    <brk id="51" max="255" man="1"/>
  </rowBreaks>
</worksheet>
</file>

<file path=xl/worksheets/sheet6.xml><?xml version="1.0" encoding="utf-8"?>
<worksheet xmlns="http://schemas.openxmlformats.org/spreadsheetml/2006/main" xmlns:r="http://schemas.openxmlformats.org/officeDocument/2006/relationships">
  <sheetPr codeName="Sheet3"/>
  <dimension ref="A1:M42"/>
  <sheetViews>
    <sheetView showRowColHeaders="0" zoomScalePageLayoutView="0" workbookViewId="0" topLeftCell="A1">
      <selection activeCell="K25" sqref="K25"/>
    </sheetView>
  </sheetViews>
  <sheetFormatPr defaultColWidth="9.140625" defaultRowHeight="12.75"/>
  <cols>
    <col min="1" max="1" width="6.57421875" style="120" customWidth="1"/>
    <col min="2" max="16384" width="9.140625" style="120" customWidth="1"/>
  </cols>
  <sheetData>
    <row r="1" spans="1:10" ht="15">
      <c r="A1" s="122"/>
      <c r="B1" s="122"/>
      <c r="C1" s="122"/>
      <c r="D1" s="122"/>
      <c r="E1" s="122"/>
      <c r="F1" s="122"/>
      <c r="G1" s="122"/>
      <c r="H1" s="122"/>
      <c r="I1" s="122"/>
      <c r="J1" s="122"/>
    </row>
    <row r="2" spans="1:10" ht="15">
      <c r="A2" s="122"/>
      <c r="B2" s="122"/>
      <c r="C2" s="122"/>
      <c r="D2" s="122"/>
      <c r="E2" s="122"/>
      <c r="F2" s="122"/>
      <c r="G2" s="122"/>
      <c r="H2" s="122"/>
      <c r="I2" s="122"/>
      <c r="J2" s="122"/>
    </row>
    <row r="3" spans="1:10" ht="15">
      <c r="A3" s="122"/>
      <c r="B3" s="122"/>
      <c r="C3" s="122"/>
      <c r="D3" s="122"/>
      <c r="E3" s="122"/>
      <c r="F3" s="122"/>
      <c r="G3" s="122"/>
      <c r="H3" s="122"/>
      <c r="I3" s="122"/>
      <c r="J3" s="122"/>
    </row>
    <row r="4" spans="1:10" ht="18">
      <c r="A4" s="930" t="s">
        <v>85</v>
      </c>
      <c r="B4" s="930"/>
      <c r="C4" s="930"/>
      <c r="D4" s="930"/>
      <c r="E4" s="930"/>
      <c r="F4" s="930"/>
      <c r="G4" s="930"/>
      <c r="H4" s="930"/>
      <c r="I4" s="930"/>
      <c r="J4" s="930"/>
    </row>
    <row r="5" spans="1:10" ht="15">
      <c r="A5" s="122"/>
      <c r="B5" s="122"/>
      <c r="C5" s="122"/>
      <c r="D5" s="122"/>
      <c r="E5" s="122"/>
      <c r="F5" s="122"/>
      <c r="G5" s="122"/>
      <c r="H5" s="122"/>
      <c r="I5" s="122"/>
      <c r="J5" s="122"/>
    </row>
    <row r="6" spans="1:10" ht="15">
      <c r="A6" s="122"/>
      <c r="B6" s="122" t="s">
        <v>87</v>
      </c>
      <c r="C6" s="122"/>
      <c r="D6" s="122"/>
      <c r="E6" s="122"/>
      <c r="F6" s="122"/>
      <c r="G6" s="122"/>
      <c r="H6" s="122"/>
      <c r="I6" s="122"/>
      <c r="J6" s="122"/>
    </row>
    <row r="7" spans="1:10" ht="15">
      <c r="A7" s="122"/>
      <c r="B7" s="122" t="s">
        <v>88</v>
      </c>
      <c r="C7" s="122"/>
      <c r="D7" s="122"/>
      <c r="E7" s="122"/>
      <c r="F7" s="122"/>
      <c r="G7" s="122"/>
      <c r="H7" s="122"/>
      <c r="I7" s="122"/>
      <c r="J7" s="122"/>
    </row>
    <row r="8" spans="1:10" ht="15">
      <c r="A8" s="122"/>
      <c r="B8" s="122" t="s">
        <v>86</v>
      </c>
      <c r="C8" s="122"/>
      <c r="D8" s="122"/>
      <c r="E8" s="122"/>
      <c r="F8" s="122"/>
      <c r="G8" s="122"/>
      <c r="H8" s="122"/>
      <c r="I8" s="122"/>
      <c r="J8" s="122"/>
    </row>
    <row r="9" spans="1:10" ht="15">
      <c r="A9" s="122"/>
      <c r="B9" s="122"/>
      <c r="C9" s="122"/>
      <c r="D9" s="122"/>
      <c r="E9" s="122"/>
      <c r="F9" s="122"/>
      <c r="G9" s="122"/>
      <c r="H9" s="122"/>
      <c r="I9" s="122"/>
      <c r="J9" s="122"/>
    </row>
    <row r="10" spans="1:10" ht="15">
      <c r="A10" s="122"/>
      <c r="B10" s="122"/>
      <c r="C10" s="122"/>
      <c r="D10" s="122"/>
      <c r="E10" s="122"/>
      <c r="F10" s="122"/>
      <c r="G10" s="122"/>
      <c r="H10" s="122"/>
      <c r="I10" s="122"/>
      <c r="J10" s="122"/>
    </row>
    <row r="11" spans="1:10" ht="15">
      <c r="A11" s="122"/>
      <c r="B11" s="122" t="s">
        <v>89</v>
      </c>
      <c r="C11" s="122"/>
      <c r="D11" s="122"/>
      <c r="E11" s="122"/>
      <c r="F11" s="122"/>
      <c r="G11" s="122"/>
      <c r="H11" s="122"/>
      <c r="I11" s="122"/>
      <c r="J11" s="122"/>
    </row>
    <row r="12" spans="1:10" ht="15">
      <c r="A12" s="122"/>
      <c r="B12" s="122" t="s">
        <v>90</v>
      </c>
      <c r="C12" s="122"/>
      <c r="D12" s="122"/>
      <c r="E12" s="122"/>
      <c r="F12" s="122"/>
      <c r="G12" s="122"/>
      <c r="H12" s="122"/>
      <c r="I12" s="122"/>
      <c r="J12" s="122"/>
    </row>
    <row r="13" spans="1:10" ht="15">
      <c r="A13" s="122"/>
      <c r="B13" s="122" t="s">
        <v>91</v>
      </c>
      <c r="C13" s="122"/>
      <c r="D13" s="122"/>
      <c r="E13" s="122"/>
      <c r="F13" s="122"/>
      <c r="G13" s="122"/>
      <c r="H13" s="122"/>
      <c r="I13" s="122"/>
      <c r="J13" s="122"/>
    </row>
    <row r="14" spans="1:10" ht="15">
      <c r="A14" s="122"/>
      <c r="B14" s="122" t="s">
        <v>92</v>
      </c>
      <c r="C14" s="122"/>
      <c r="D14" s="122"/>
      <c r="E14" s="122"/>
      <c r="F14" s="122"/>
      <c r="G14" s="122"/>
      <c r="H14" s="122"/>
      <c r="I14" s="122"/>
      <c r="J14" s="122"/>
    </row>
    <row r="15" spans="1:10" ht="15">
      <c r="A15" s="122"/>
      <c r="B15" s="122" t="s">
        <v>93</v>
      </c>
      <c r="C15" s="122"/>
      <c r="D15" s="122"/>
      <c r="E15" s="122"/>
      <c r="F15" s="122"/>
      <c r="G15" s="122"/>
      <c r="H15" s="122"/>
      <c r="I15" s="122"/>
      <c r="J15" s="122"/>
    </row>
    <row r="16" spans="1:10" ht="15">
      <c r="A16" s="122"/>
      <c r="B16" s="122" t="s">
        <v>94</v>
      </c>
      <c r="C16" s="122"/>
      <c r="D16" s="122"/>
      <c r="E16" s="122"/>
      <c r="F16" s="122"/>
      <c r="G16" s="122"/>
      <c r="H16" s="122"/>
      <c r="I16" s="122"/>
      <c r="J16" s="122"/>
    </row>
    <row r="17" spans="1:13" ht="15">
      <c r="A17" s="122"/>
      <c r="B17" s="122"/>
      <c r="C17" s="122"/>
      <c r="D17" s="122"/>
      <c r="E17" s="122"/>
      <c r="F17" s="122"/>
      <c r="G17" s="122"/>
      <c r="H17" s="122"/>
      <c r="I17" s="122"/>
      <c r="J17" s="122"/>
      <c r="M17" s="121"/>
    </row>
    <row r="18" spans="1:10" ht="15">
      <c r="A18" s="122"/>
      <c r="B18" s="122"/>
      <c r="C18" s="122"/>
      <c r="D18" s="122"/>
      <c r="E18" s="122"/>
      <c r="F18" s="122"/>
      <c r="G18" s="122"/>
      <c r="H18" s="122"/>
      <c r="I18" s="122"/>
      <c r="J18" s="122"/>
    </row>
    <row r="19" spans="1:10" ht="15">
      <c r="A19" s="122"/>
      <c r="B19" s="122" t="s">
        <v>95</v>
      </c>
      <c r="C19" s="122"/>
      <c r="D19" s="122"/>
      <c r="E19" s="122"/>
      <c r="F19" s="122"/>
      <c r="G19" s="122"/>
      <c r="H19" s="122"/>
      <c r="I19" s="122"/>
      <c r="J19" s="122"/>
    </row>
    <row r="20" spans="1:10" ht="15">
      <c r="A20" s="122"/>
      <c r="B20" s="122" t="s">
        <v>90</v>
      </c>
      <c r="C20" s="122"/>
      <c r="D20" s="122"/>
      <c r="E20" s="122"/>
      <c r="F20" s="122"/>
      <c r="G20" s="122"/>
      <c r="H20" s="122"/>
      <c r="I20" s="122"/>
      <c r="J20" s="122"/>
    </row>
    <row r="21" spans="1:10" ht="15">
      <c r="A21" s="122"/>
      <c r="B21" s="122" t="s">
        <v>91</v>
      </c>
      <c r="C21" s="122"/>
      <c r="D21" s="122"/>
      <c r="E21" s="122"/>
      <c r="F21" s="122"/>
      <c r="G21" s="122"/>
      <c r="H21" s="122"/>
      <c r="I21" s="122"/>
      <c r="J21" s="122"/>
    </row>
    <row r="22" spans="1:10" ht="15">
      <c r="A22" s="122"/>
      <c r="B22" s="122" t="s">
        <v>96</v>
      </c>
      <c r="C22" s="122"/>
      <c r="D22" s="122"/>
      <c r="E22" s="122"/>
      <c r="F22" s="122"/>
      <c r="G22" s="122"/>
      <c r="H22" s="122"/>
      <c r="I22" s="122"/>
      <c r="J22" s="122"/>
    </row>
    <row r="23" spans="1:10" ht="15">
      <c r="A23" s="122"/>
      <c r="B23" s="122" t="s">
        <v>97</v>
      </c>
      <c r="C23" s="122"/>
      <c r="D23" s="122"/>
      <c r="E23" s="122"/>
      <c r="F23" s="122"/>
      <c r="G23" s="122"/>
      <c r="H23" s="122"/>
      <c r="I23" s="122"/>
      <c r="J23" s="122"/>
    </row>
    <row r="24" spans="1:10" ht="15.75">
      <c r="A24" s="122"/>
      <c r="B24" s="122" t="s">
        <v>98</v>
      </c>
      <c r="C24" s="122"/>
      <c r="D24" s="122"/>
      <c r="E24" s="122"/>
      <c r="F24" s="122"/>
      <c r="G24" s="122"/>
      <c r="H24" s="122"/>
      <c r="I24" s="122"/>
      <c r="J24" s="122"/>
    </row>
    <row r="25" spans="1:10" ht="15">
      <c r="A25" s="122"/>
      <c r="B25" s="122"/>
      <c r="C25" s="122"/>
      <c r="D25" s="122"/>
      <c r="E25" s="122"/>
      <c r="F25" s="122"/>
      <c r="G25" s="122"/>
      <c r="H25" s="122"/>
      <c r="I25" s="122"/>
      <c r="J25" s="122"/>
    </row>
    <row r="26" spans="1:10" ht="15">
      <c r="A26" s="122"/>
      <c r="B26" s="122"/>
      <c r="C26" s="122"/>
      <c r="D26" s="122"/>
      <c r="E26" s="122"/>
      <c r="F26" s="122"/>
      <c r="G26" s="122"/>
      <c r="H26" s="122"/>
      <c r="I26" s="122"/>
      <c r="J26" s="122"/>
    </row>
    <row r="27" spans="1:10" ht="15">
      <c r="A27" s="122"/>
      <c r="B27" s="122" t="s">
        <v>99</v>
      </c>
      <c r="C27" s="122"/>
      <c r="D27" s="122"/>
      <c r="E27" s="122"/>
      <c r="F27" s="122"/>
      <c r="G27" s="122"/>
      <c r="H27" s="122"/>
      <c r="I27" s="122"/>
      <c r="J27" s="122"/>
    </row>
    <row r="28" spans="1:10" ht="15">
      <c r="A28" s="122"/>
      <c r="B28" s="122" t="s">
        <v>100</v>
      </c>
      <c r="C28" s="122"/>
      <c r="D28" s="122"/>
      <c r="E28" s="122"/>
      <c r="F28" s="122"/>
      <c r="G28" s="122"/>
      <c r="H28" s="122"/>
      <c r="I28" s="122"/>
      <c r="J28" s="122"/>
    </row>
    <row r="29" spans="1:10" ht="15">
      <c r="A29" s="122"/>
      <c r="B29" s="122" t="s">
        <v>91</v>
      </c>
      <c r="C29" s="122"/>
      <c r="D29" s="122"/>
      <c r="E29" s="122"/>
      <c r="F29" s="122"/>
      <c r="G29" s="122"/>
      <c r="H29" s="122"/>
      <c r="I29" s="122"/>
      <c r="J29" s="122"/>
    </row>
    <row r="30" spans="1:10" ht="15">
      <c r="A30" s="122"/>
      <c r="B30" s="122" t="s">
        <v>96</v>
      </c>
      <c r="C30" s="122"/>
      <c r="D30" s="122"/>
      <c r="E30" s="122"/>
      <c r="F30" s="122"/>
      <c r="G30" s="122"/>
      <c r="H30" s="122"/>
      <c r="I30" s="122"/>
      <c r="J30" s="122"/>
    </row>
    <row r="31" spans="1:10" ht="15">
      <c r="A31" s="122"/>
      <c r="B31" s="122" t="s">
        <v>101</v>
      </c>
      <c r="C31" s="122"/>
      <c r="D31" s="122"/>
      <c r="E31" s="122"/>
      <c r="F31" s="122"/>
      <c r="G31" s="122"/>
      <c r="H31" s="122"/>
      <c r="I31" s="122"/>
      <c r="J31" s="122"/>
    </row>
    <row r="32" spans="1:10" ht="15">
      <c r="A32" s="122"/>
      <c r="B32" s="122" t="s">
        <v>102</v>
      </c>
      <c r="C32" s="122"/>
      <c r="D32" s="122"/>
      <c r="E32" s="122"/>
      <c r="F32" s="122"/>
      <c r="G32" s="122"/>
      <c r="H32" s="122"/>
      <c r="I32" s="122"/>
      <c r="J32" s="122"/>
    </row>
    <row r="33" spans="1:10" ht="15">
      <c r="A33" s="122"/>
      <c r="B33" s="122" t="s">
        <v>103</v>
      </c>
      <c r="C33" s="122"/>
      <c r="D33" s="122"/>
      <c r="E33" s="122"/>
      <c r="F33" s="122"/>
      <c r="G33" s="122"/>
      <c r="H33" s="122"/>
      <c r="I33" s="122"/>
      <c r="J33" s="122"/>
    </row>
    <row r="34" spans="1:10" ht="15">
      <c r="A34" s="122"/>
      <c r="B34" s="122"/>
      <c r="C34" s="122"/>
      <c r="D34" s="122"/>
      <c r="E34" s="122"/>
      <c r="F34" s="122"/>
      <c r="G34" s="122"/>
      <c r="H34" s="122"/>
      <c r="I34" s="122"/>
      <c r="J34" s="122"/>
    </row>
    <row r="35" spans="1:10" ht="15">
      <c r="A35" s="122"/>
      <c r="B35" s="122"/>
      <c r="C35" s="122"/>
      <c r="D35" s="122"/>
      <c r="E35" s="122"/>
      <c r="F35" s="122"/>
      <c r="G35" s="122"/>
      <c r="H35" s="122"/>
      <c r="I35" s="122"/>
      <c r="J35" s="122"/>
    </row>
    <row r="36" spans="1:10" ht="15">
      <c r="A36" s="122"/>
      <c r="B36" s="122" t="s">
        <v>104</v>
      </c>
      <c r="C36" s="122"/>
      <c r="D36" s="122"/>
      <c r="E36" s="122"/>
      <c r="F36" s="122"/>
      <c r="G36" s="122"/>
      <c r="H36" s="122"/>
      <c r="I36" s="122"/>
      <c r="J36" s="122"/>
    </row>
    <row r="37" spans="1:10" ht="15">
      <c r="A37" s="122"/>
      <c r="B37" s="122" t="s">
        <v>100</v>
      </c>
      <c r="C37" s="122"/>
      <c r="D37" s="122"/>
      <c r="E37" s="122"/>
      <c r="F37" s="122"/>
      <c r="G37" s="122"/>
      <c r="H37" s="122"/>
      <c r="I37" s="122"/>
      <c r="J37" s="122"/>
    </row>
    <row r="38" spans="1:10" ht="15">
      <c r="A38" s="122"/>
      <c r="B38" s="122" t="s">
        <v>91</v>
      </c>
      <c r="C38" s="122"/>
      <c r="D38" s="122"/>
      <c r="E38" s="122"/>
      <c r="F38" s="122"/>
      <c r="G38" s="122"/>
      <c r="H38" s="122"/>
      <c r="I38" s="122"/>
      <c r="J38" s="122"/>
    </row>
    <row r="39" spans="1:10" ht="15">
      <c r="A39" s="122"/>
      <c r="B39" s="122" t="s">
        <v>96</v>
      </c>
      <c r="C39" s="122"/>
      <c r="D39" s="122"/>
      <c r="E39" s="122"/>
      <c r="F39" s="122"/>
      <c r="G39" s="122"/>
      <c r="H39" s="122"/>
      <c r="I39" s="122"/>
      <c r="J39" s="122"/>
    </row>
    <row r="40" spans="1:10" ht="15">
      <c r="A40" s="122"/>
      <c r="B40" s="122" t="s">
        <v>105</v>
      </c>
      <c r="C40" s="122"/>
      <c r="D40" s="122"/>
      <c r="E40" s="122"/>
      <c r="F40" s="122"/>
      <c r="G40" s="122"/>
      <c r="H40" s="122"/>
      <c r="I40" s="122"/>
      <c r="J40" s="122"/>
    </row>
    <row r="41" spans="1:10" ht="15">
      <c r="A41" s="122"/>
      <c r="B41" s="122" t="s">
        <v>106</v>
      </c>
      <c r="C41" s="122"/>
      <c r="D41" s="122"/>
      <c r="E41" s="122"/>
      <c r="F41" s="122"/>
      <c r="G41" s="122"/>
      <c r="H41" s="122"/>
      <c r="I41" s="122"/>
      <c r="J41" s="122"/>
    </row>
    <row r="42" spans="1:10" ht="15">
      <c r="A42" s="122"/>
      <c r="B42" s="122" t="s">
        <v>107</v>
      </c>
      <c r="C42" s="122"/>
      <c r="D42" s="122"/>
      <c r="E42" s="122"/>
      <c r="F42" s="122"/>
      <c r="G42" s="122"/>
      <c r="H42" s="122"/>
      <c r="I42" s="122"/>
      <c r="J42" s="122"/>
    </row>
  </sheetData>
  <sheetProtection password="CC50" sheet="1" objects="1" scenarios="1"/>
  <mergeCells count="1">
    <mergeCell ref="A4:J4"/>
  </mergeCells>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Default</dc:creator>
  <cp:keywords/>
  <dc:description/>
  <cp:lastModifiedBy>john2gre</cp:lastModifiedBy>
  <cp:lastPrinted>2008-07-28T18:46:18Z</cp:lastPrinted>
  <dcterms:created xsi:type="dcterms:W3CDTF">2001-06-27T21:22:18Z</dcterms:created>
  <dcterms:modified xsi:type="dcterms:W3CDTF">2010-04-05T14:38:14Z</dcterms:modified>
  <cp:category/>
  <cp:version/>
  <cp:contentType/>
  <cp:contentStatus/>
</cp:coreProperties>
</file>